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c\Desktop\Briefcase\"/>
    </mc:Choice>
  </mc:AlternateContent>
  <xr:revisionPtr revIDLastSave="0" documentId="13_ncr:1_{5E0FA59D-F401-4590-A331-24AADE540BCB}" xr6:coauthVersionLast="46" xr6:coauthVersionMax="46" xr10:uidLastSave="{00000000-0000-0000-0000-000000000000}"/>
  <bookViews>
    <workbookView xWindow="1575" yWindow="285" windowWidth="25545" windowHeight="15270" xr2:uid="{A0AE005B-A27A-4B0A-8C12-D4F599D68CD0}"/>
  </bookViews>
  <sheets>
    <sheet name="2021 Bid Tab" sheetId="2" r:id="rId1"/>
    <sheet name="2021 Quantities by Street" sheetId="1" r:id="rId2"/>
  </sheets>
  <externalReferences>
    <externalReference r:id="rId3"/>
  </externalReferences>
  <definedNames>
    <definedName name="_xlnm._FilterDatabase" localSheetId="1" hidden="1">'2021 Quantities by Street'!$A$6:$EO$54</definedName>
    <definedName name="all" localSheetId="1">#REF!</definedName>
    <definedName name="all">#REF!</definedName>
    <definedName name="Group" localSheetId="1">#REF!</definedName>
    <definedName name="Group">#REF!</definedName>
    <definedName name="_xlnm.Print_Area" localSheetId="1">'2021 Quantities by Street'!$A$2:$BQ$54</definedName>
    <definedName name="_xlnm.Print_Titles" localSheetId="1">'2021 Quantities by Street'!$A:$D,'2021 Quantities by Street'!$2:$6</definedName>
    <definedName name="Roadnumber" localSheetId="1">#REF!</definedName>
    <definedName name="Roadnumb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2" l="1"/>
  <c r="BQ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U56" i="1"/>
  <c r="AT56" i="1"/>
  <c r="AR56" i="1"/>
  <c r="AQ56" i="1"/>
  <c r="AP56" i="1"/>
  <c r="AN56" i="1"/>
  <c r="AK56" i="1"/>
  <c r="AI56" i="1"/>
  <c r="AG56" i="1"/>
  <c r="AE56" i="1"/>
  <c r="AD56" i="1"/>
  <c r="AC56" i="1"/>
  <c r="AB56" i="1"/>
  <c r="Z56" i="1"/>
  <c r="R56" i="1"/>
  <c r="M56" i="1"/>
  <c r="L56" i="1"/>
  <c r="K56" i="1"/>
  <c r="Y54" i="1"/>
  <c r="U54" i="1"/>
  <c r="N54" i="1"/>
  <c r="J54" i="1"/>
  <c r="AM53" i="1"/>
  <c r="AM56" i="1" s="1"/>
  <c r="AA53" i="1"/>
  <c r="W53" i="1"/>
  <c r="V53" i="1"/>
  <c r="Y53" i="1" s="1"/>
  <c r="T53" i="1"/>
  <c r="P53" i="1"/>
  <c r="O53" i="1"/>
  <c r="I53" i="1"/>
  <c r="AA52" i="1"/>
  <c r="X52" i="1"/>
  <c r="V52" i="1"/>
  <c r="Q52" i="1"/>
  <c r="Y52" i="1" s="1"/>
  <c r="P52" i="1"/>
  <c r="N52" i="1"/>
  <c r="I52" i="1"/>
  <c r="AA51" i="1"/>
  <c r="X51" i="1"/>
  <c r="V51" i="1"/>
  <c r="Y51" i="1" s="1"/>
  <c r="Q51" i="1"/>
  <c r="P51" i="1"/>
  <c r="N51" i="1"/>
  <c r="I51" i="1"/>
  <c r="AA50" i="1"/>
  <c r="X50" i="1"/>
  <c r="V50" i="1"/>
  <c r="Q50" i="1"/>
  <c r="Y50" i="1" s="1"/>
  <c r="P50" i="1"/>
  <c r="N50" i="1"/>
  <c r="I50" i="1"/>
  <c r="AA49" i="1"/>
  <c r="X49" i="1"/>
  <c r="V49" i="1"/>
  <c r="Y49" i="1" s="1"/>
  <c r="Q49" i="1"/>
  <c r="P49" i="1"/>
  <c r="N49" i="1"/>
  <c r="I49" i="1"/>
  <c r="AA48" i="1"/>
  <c r="X48" i="1"/>
  <c r="V48" i="1"/>
  <c r="Q48" i="1"/>
  <c r="Y48" i="1" s="1"/>
  <c r="P48" i="1"/>
  <c r="N48" i="1"/>
  <c r="I48" i="1"/>
  <c r="AL47" i="1"/>
  <c r="AJ47" i="1"/>
  <c r="AH47" i="1"/>
  <c r="AF47" i="1"/>
  <c r="AA47" i="1"/>
  <c r="X47" i="1"/>
  <c r="V47" i="1"/>
  <c r="Y47" i="1" s="1"/>
  <c r="Q47" i="1"/>
  <c r="P47" i="1"/>
  <c r="N47" i="1"/>
  <c r="I47" i="1"/>
  <c r="AO46" i="1"/>
  <c r="AL46" i="1"/>
  <c r="AJ46" i="1"/>
  <c r="AH46" i="1"/>
  <c r="AF46" i="1"/>
  <c r="AA46" i="1"/>
  <c r="X46" i="1"/>
  <c r="V46" i="1"/>
  <c r="Y46" i="1" s="1"/>
  <c r="Q46" i="1"/>
  <c r="P46" i="1"/>
  <c r="N46" i="1"/>
  <c r="I46" i="1"/>
  <c r="BP46" i="1" s="1"/>
  <c r="AV45" i="1"/>
  <c r="AS45" i="1"/>
  <c r="AS56" i="1" s="1"/>
  <c r="AO45" i="1"/>
  <c r="AL45" i="1"/>
  <c r="AJ45" i="1"/>
  <c r="AH45" i="1"/>
  <c r="AF45" i="1"/>
  <c r="AA45" i="1"/>
  <c r="X45" i="1"/>
  <c r="V45" i="1"/>
  <c r="Y45" i="1" s="1"/>
  <c r="Q45" i="1"/>
  <c r="P45" i="1"/>
  <c r="N45" i="1"/>
  <c r="I45" i="1"/>
  <c r="BP45" i="1" s="1"/>
  <c r="AA44" i="1"/>
  <c r="X44" i="1"/>
  <c r="V44" i="1"/>
  <c r="Q44" i="1"/>
  <c r="Y44" i="1" s="1"/>
  <c r="P44" i="1"/>
  <c r="N44" i="1"/>
  <c r="I44" i="1"/>
  <c r="AA43" i="1"/>
  <c r="X43" i="1"/>
  <c r="V43" i="1"/>
  <c r="Y43" i="1" s="1"/>
  <c r="Q43" i="1"/>
  <c r="P43" i="1"/>
  <c r="N43" i="1"/>
  <c r="I43" i="1"/>
  <c r="Y42" i="1"/>
  <c r="U42" i="1"/>
  <c r="N42" i="1"/>
  <c r="J42" i="1"/>
  <c r="BP42" i="1" s="1"/>
  <c r="X41" i="1"/>
  <c r="U41" i="1"/>
  <c r="U56" i="1" s="1"/>
  <c r="S41" i="1"/>
  <c r="S56" i="1" s="1"/>
  <c r="Q41" i="1"/>
  <c r="P41" i="1"/>
  <c r="N41" i="1"/>
  <c r="AH40" i="1"/>
  <c r="AF40" i="1"/>
  <c r="AA40" i="1"/>
  <c r="X40" i="1"/>
  <c r="V40" i="1"/>
  <c r="Q40" i="1"/>
  <c r="Y40" i="1" s="1"/>
  <c r="P40" i="1"/>
  <c r="N40" i="1"/>
  <c r="I40" i="1"/>
  <c r="AH39" i="1"/>
  <c r="AF39" i="1"/>
  <c r="AA39" i="1"/>
  <c r="X39" i="1"/>
  <c r="V39" i="1"/>
  <c r="Y39" i="1" s="1"/>
  <c r="Q39" i="1"/>
  <c r="P39" i="1"/>
  <c r="N39" i="1"/>
  <c r="I39" i="1"/>
  <c r="AH38" i="1"/>
  <c r="AF38" i="1"/>
  <c r="AA38" i="1"/>
  <c r="X38" i="1"/>
  <c r="V38" i="1"/>
  <c r="Q38" i="1"/>
  <c r="Y38" i="1" s="1"/>
  <c r="P38" i="1"/>
  <c r="N38" i="1"/>
  <c r="I38" i="1"/>
  <c r="AH37" i="1"/>
  <c r="AF37" i="1"/>
  <c r="AA37" i="1"/>
  <c r="Y37" i="1"/>
  <c r="X37" i="1"/>
  <c r="V37" i="1"/>
  <c r="Q37" i="1"/>
  <c r="P37" i="1"/>
  <c r="N37" i="1"/>
  <c r="I37" i="1"/>
  <c r="AH36" i="1"/>
  <c r="AF36" i="1"/>
  <c r="AA36" i="1"/>
  <c r="X36" i="1"/>
  <c r="V36" i="1"/>
  <c r="Q36" i="1"/>
  <c r="Y36" i="1" s="1"/>
  <c r="P36" i="1"/>
  <c r="N36" i="1"/>
  <c r="I36" i="1"/>
  <c r="BP36" i="1" s="1"/>
  <c r="AH35" i="1"/>
  <c r="AF35" i="1"/>
  <c r="AA35" i="1"/>
  <c r="X35" i="1"/>
  <c r="V35" i="1"/>
  <c r="Y35" i="1" s="1"/>
  <c r="Q35" i="1"/>
  <c r="P35" i="1"/>
  <c r="N35" i="1"/>
  <c r="I35" i="1"/>
  <c r="AA34" i="1"/>
  <c r="X34" i="1"/>
  <c r="V34" i="1"/>
  <c r="Q34" i="1"/>
  <c r="Y34" i="1" s="1"/>
  <c r="P34" i="1"/>
  <c r="N34" i="1"/>
  <c r="I34" i="1"/>
  <c r="BP34" i="1" s="1"/>
  <c r="AH33" i="1"/>
  <c r="AF33" i="1"/>
  <c r="AA33" i="1"/>
  <c r="Y33" i="1"/>
  <c r="X33" i="1"/>
  <c r="V33" i="1"/>
  <c r="Q33" i="1"/>
  <c r="P33" i="1"/>
  <c r="N33" i="1"/>
  <c r="I33" i="1"/>
  <c r="AJ32" i="1"/>
  <c r="AH32" i="1"/>
  <c r="AF32" i="1"/>
  <c r="AA32" i="1"/>
  <c r="X32" i="1"/>
  <c r="V32" i="1"/>
  <c r="Y32" i="1" s="1"/>
  <c r="Q32" i="1"/>
  <c r="P32" i="1"/>
  <c r="N32" i="1"/>
  <c r="I32" i="1"/>
  <c r="X31" i="1"/>
  <c r="V31" i="1"/>
  <c r="Q31" i="1"/>
  <c r="Y31" i="1" s="1"/>
  <c r="P31" i="1"/>
  <c r="N31" i="1"/>
  <c r="I31" i="1"/>
  <c r="G31" i="1"/>
  <c r="AA30" i="1"/>
  <c r="X30" i="1"/>
  <c r="V30" i="1"/>
  <c r="Q30" i="1"/>
  <c r="Y30" i="1" s="1"/>
  <c r="P30" i="1"/>
  <c r="N30" i="1"/>
  <c r="I30" i="1"/>
  <c r="AH29" i="1"/>
  <c r="AF29" i="1"/>
  <c r="AA29" i="1"/>
  <c r="Y29" i="1"/>
  <c r="X29" i="1"/>
  <c r="V29" i="1"/>
  <c r="Q29" i="1"/>
  <c r="P29" i="1"/>
  <c r="N29" i="1"/>
  <c r="I29" i="1"/>
  <c r="AL28" i="1"/>
  <c r="AL56" i="1" s="1"/>
  <c r="AH28" i="1"/>
  <c r="AH56" i="1" s="1"/>
  <c r="AF28" i="1"/>
  <c r="AF56" i="1" s="1"/>
  <c r="AA28" i="1"/>
  <c r="X28" i="1"/>
  <c r="V28" i="1"/>
  <c r="Y28" i="1" s="1"/>
  <c r="Q28" i="1"/>
  <c r="P28" i="1"/>
  <c r="N28" i="1"/>
  <c r="I28" i="1"/>
  <c r="BP28" i="1" s="1"/>
  <c r="AA27" i="1"/>
  <c r="X27" i="1"/>
  <c r="V27" i="1"/>
  <c r="Q27" i="1"/>
  <c r="Y27" i="1" s="1"/>
  <c r="P27" i="1"/>
  <c r="N27" i="1"/>
  <c r="I27" i="1"/>
  <c r="AA26" i="1"/>
  <c r="X26" i="1"/>
  <c r="V26" i="1"/>
  <c r="Y26" i="1" s="1"/>
  <c r="Q26" i="1"/>
  <c r="P26" i="1"/>
  <c r="N26" i="1"/>
  <c r="I26" i="1"/>
  <c r="BR25" i="1"/>
  <c r="BP25" i="1"/>
  <c r="AV24" i="1"/>
  <c r="AV56" i="1" s="1"/>
  <c r="AO24" i="1"/>
  <c r="Y24" i="1"/>
  <c r="X24" i="1"/>
  <c r="V24" i="1"/>
  <c r="Q24" i="1"/>
  <c r="P24" i="1"/>
  <c r="N24" i="1"/>
  <c r="I24" i="1"/>
  <c r="G24" i="1"/>
  <c r="AA24" i="1" s="1"/>
  <c r="AO23" i="1"/>
  <c r="AO56" i="1" s="1"/>
  <c r="AA23" i="1"/>
  <c r="H23" i="1"/>
  <c r="P23" i="1" s="1"/>
  <c r="G23" i="1"/>
  <c r="BP22" i="1"/>
  <c r="BR22" i="1" s="1"/>
  <c r="BR21" i="1"/>
  <c r="BP21" i="1"/>
  <c r="BP20" i="1"/>
  <c r="BR20" i="1" s="1"/>
  <c r="BR19" i="1"/>
  <c r="BP19" i="1"/>
  <c r="BP18" i="1"/>
  <c r="BR18" i="1" s="1"/>
  <c r="BR17" i="1"/>
  <c r="BP17" i="1"/>
  <c r="BP16" i="1"/>
  <c r="BR16" i="1" s="1"/>
  <c r="BR15" i="1"/>
  <c r="BP15" i="1"/>
  <c r="BP14" i="1"/>
  <c r="BR14" i="1" s="1"/>
  <c r="BR13" i="1"/>
  <c r="BP13" i="1"/>
  <c r="BP12" i="1"/>
  <c r="BR12" i="1" s="1"/>
  <c r="W11" i="1"/>
  <c r="T11" i="1"/>
  <c r="BP11" i="1" s="1"/>
  <c r="BR11" i="1" s="1"/>
  <c r="W10" i="1"/>
  <c r="T10" i="1"/>
  <c r="W9" i="1"/>
  <c r="BR9" i="1" s="1"/>
  <c r="T9" i="1"/>
  <c r="BP9" i="1" s="1"/>
  <c r="BP8" i="1"/>
  <c r="BR8" i="1" s="1"/>
  <c r="AJ7" i="1"/>
  <c r="AJ56" i="1" s="1"/>
  <c r="W7" i="1"/>
  <c r="V7" i="1"/>
  <c r="T7" i="1"/>
  <c r="T56" i="1" s="1"/>
  <c r="P7" i="1"/>
  <c r="O7" i="1"/>
  <c r="O56" i="1" s="1"/>
  <c r="I7" i="1"/>
  <c r="G7" i="1"/>
  <c r="AA7" i="1" s="1"/>
  <c r="BR39" i="1" l="1"/>
  <c r="I56" i="1"/>
  <c r="BR34" i="1"/>
  <c r="BP30" i="1"/>
  <c r="BR27" i="1"/>
  <c r="BR48" i="1"/>
  <c r="BR37" i="1"/>
  <c r="BP40" i="1"/>
  <c r="BR42" i="1"/>
  <c r="BP50" i="1"/>
  <c r="BR50" i="1" s="1"/>
  <c r="W56" i="1"/>
  <c r="P56" i="1"/>
  <c r="Y7" i="1"/>
  <c r="BP10" i="1"/>
  <c r="BR10" i="1" s="1"/>
  <c r="BP24" i="1"/>
  <c r="BR24" i="1" s="1"/>
  <c r="BP27" i="1"/>
  <c r="BR30" i="1"/>
  <c r="BP44" i="1"/>
  <c r="BR44" i="1" s="1"/>
  <c r="BP48" i="1"/>
  <c r="BP52" i="1"/>
  <c r="BR52" i="1" s="1"/>
  <c r="BP54" i="1"/>
  <c r="BR54" i="1" s="1"/>
  <c r="J56" i="1"/>
  <c r="Q23" i="1"/>
  <c r="BR28" i="1"/>
  <c r="BP29" i="1"/>
  <c r="BR29" i="1" s="1"/>
  <c r="BR36" i="1"/>
  <c r="BP37" i="1"/>
  <c r="BR40" i="1"/>
  <c r="BP41" i="1"/>
  <c r="BR41" i="1" s="1"/>
  <c r="BR45" i="1"/>
  <c r="BR46" i="1"/>
  <c r="BP49" i="1"/>
  <c r="BR49" i="1" s="1"/>
  <c r="I23" i="1"/>
  <c r="V23" i="1"/>
  <c r="V56" i="1" s="1"/>
  <c r="BP32" i="1"/>
  <c r="BR32" i="1" s="1"/>
  <c r="BP38" i="1"/>
  <c r="BR38" i="1" s="1"/>
  <c r="BP53" i="1"/>
  <c r="BR53" i="1" s="1"/>
  <c r="N23" i="1"/>
  <c r="N56" i="1" s="1"/>
  <c r="X23" i="1"/>
  <c r="X56" i="1" s="1"/>
  <c r="BP26" i="1"/>
  <c r="BR26" i="1" s="1"/>
  <c r="AA31" i="1"/>
  <c r="AA56" i="1" s="1"/>
  <c r="BP33" i="1"/>
  <c r="BR33" i="1" s="1"/>
  <c r="BP35" i="1"/>
  <c r="BR35" i="1" s="1"/>
  <c r="BP39" i="1"/>
  <c r="BP43" i="1"/>
  <c r="BR43" i="1" s="1"/>
  <c r="BP47" i="1"/>
  <c r="BR47" i="1" s="1"/>
  <c r="BP51" i="1"/>
  <c r="BR51" i="1" s="1"/>
  <c r="Q56" i="1" l="1"/>
  <c r="Y23" i="1"/>
  <c r="BP23" i="1" s="1"/>
  <c r="BP31" i="1"/>
  <c r="BR31" i="1" s="1"/>
  <c r="Y56" i="1"/>
  <c r="BR23" i="1"/>
  <c r="BP7" i="1"/>
  <c r="BP56" i="1" s="1"/>
  <c r="BR7" i="1" l="1"/>
  <c r="BS53" i="1" l="1"/>
  <c r="BS52" i="1"/>
  <c r="BS48" i="1"/>
  <c r="BS44" i="1"/>
  <c r="BS38" i="1"/>
  <c r="BS34" i="1"/>
  <c r="BS32" i="1"/>
  <c r="BS27" i="1"/>
  <c r="BS21" i="1"/>
  <c r="BS17" i="1"/>
  <c r="BS13" i="1"/>
  <c r="BS9" i="1"/>
  <c r="BS7" i="1"/>
  <c r="BS49" i="1"/>
  <c r="BS41" i="1"/>
  <c r="BS37" i="1"/>
  <c r="BS29" i="1"/>
  <c r="BS24" i="1"/>
  <c r="BS22" i="1"/>
  <c r="BS18" i="1"/>
  <c r="BS14" i="1"/>
  <c r="BS54" i="1"/>
  <c r="BS50" i="1"/>
  <c r="BS46" i="1"/>
  <c r="BS45" i="1"/>
  <c r="BS42" i="1"/>
  <c r="BS40" i="1"/>
  <c r="BS36" i="1"/>
  <c r="BS31" i="1"/>
  <c r="BS30" i="1"/>
  <c r="BS28" i="1"/>
  <c r="BS25" i="1"/>
  <c r="BS19" i="1"/>
  <c r="BS15" i="1"/>
  <c r="BS11" i="1"/>
  <c r="BS51" i="1"/>
  <c r="BS47" i="1"/>
  <c r="BS43" i="1"/>
  <c r="BS39" i="1"/>
  <c r="BS35" i="1"/>
  <c r="BS33" i="1"/>
  <c r="BS26" i="1"/>
  <c r="BS23" i="1"/>
  <c r="BS20" i="1"/>
  <c r="BS16" i="1"/>
  <c r="BS12" i="1"/>
  <c r="BS8" i="1"/>
  <c r="BS10" i="1"/>
</calcChain>
</file>

<file path=xl/sharedStrings.xml><?xml version="1.0" encoding="utf-8"?>
<sst xmlns="http://schemas.openxmlformats.org/spreadsheetml/2006/main" count="501" uniqueCount="179">
  <si>
    <t>Unit Price</t>
  </si>
  <si>
    <t xml:space="preserve">Unit   </t>
  </si>
  <si>
    <t>SYS</t>
  </si>
  <si>
    <t>CYS</t>
  </si>
  <si>
    <t>TONS</t>
  </si>
  <si>
    <t>LF</t>
  </si>
  <si>
    <t>EA</t>
  </si>
  <si>
    <t>LS</t>
  </si>
  <si>
    <t>PRIORITY</t>
  </si>
  <si>
    <t>ROAD NAME</t>
  </si>
  <si>
    <t>FROM</t>
  </si>
  <si>
    <t>TO</t>
  </si>
  <si>
    <t>FUNCTIONAL CLASSIFICATION</t>
  </si>
  <si>
    <t>EXST. ROAD SURFACE TYPE</t>
  </si>
  <si>
    <t>LENGTH (LF)</t>
  </si>
  <si>
    <t>AREA
 (SF)</t>
  </si>
  <si>
    <t>Milling 0-3", 1.5" Avg. Depth, HMA</t>
  </si>
  <si>
    <t>Milling 0-3", Alley, 1.5" Avg. Depth, HMA</t>
  </si>
  <si>
    <t>Milling 0-3", 1.5" Avg. Depth, PCC (Undis.)</t>
  </si>
  <si>
    <t>Milling, Scarification (Undis.)</t>
  </si>
  <si>
    <t>Common Excavation</t>
  </si>
  <si>
    <t>Subgrade Treatment, Type II (6")</t>
  </si>
  <si>
    <t>Subgrade Treatment, Type IC (12")</t>
  </si>
  <si>
    <t>Geogrid, Type IB (Undis.)</t>
  </si>
  <si>
    <t>QC/QA HMA, 2, 64, Surface 9.5 mm</t>
  </si>
  <si>
    <t xml:space="preserve">QC/QA HMA, 2, 64, Inter. 19.0 mm (Undis.) </t>
  </si>
  <si>
    <t>QC/QA HMA, 2, 64, BASE 25.0 mm (Undis.)</t>
  </si>
  <si>
    <t>QC/QA HMA, 2, 64, Surface 9.5 mm with Fiber Reinforcement</t>
  </si>
  <si>
    <t>QC/QA HMA, 2, 64, Surface 9.5 mm for Alleys</t>
  </si>
  <si>
    <t xml:space="preserve">HMA, Wedge and Level, Type B (Undis.) </t>
  </si>
  <si>
    <t>HMA Patching, Full Depth, 715#/SY</t>
  </si>
  <si>
    <t>HMA Patching, Full Depth, 495#/SY</t>
  </si>
  <si>
    <t>HMA, Partial Depth Patching, Type B (Undis.)</t>
  </si>
  <si>
    <t xml:space="preserve">PCC, Full Depth Patching (Undis.) </t>
  </si>
  <si>
    <t>Joint Adhesive</t>
  </si>
  <si>
    <t>Crack Sealing (Undis.)</t>
  </si>
  <si>
    <t>Storm Sewer, 12-inch (Undis.)</t>
  </si>
  <si>
    <t>Inlet (Undis.)</t>
  </si>
  <si>
    <t xml:space="preserve">Curb, Median, Concrete, Remove and Replace (Undis.) </t>
  </si>
  <si>
    <t>Curb, Roll, Concrete, Remove and Replace</t>
  </si>
  <si>
    <t>Vertical Curb and Gutter, Concrete, Remove and Replace</t>
  </si>
  <si>
    <t>6" PCCP for Drives, Residential, Remove and Replace</t>
  </si>
  <si>
    <t>8" PCCP for Drives, Commercial, Remove and Replace (Undis.)</t>
  </si>
  <si>
    <t>Curb Ramp, Concrete</t>
  </si>
  <si>
    <t>Sidewalk w/ Integral Curb, 4", Concrete, Rremove and Replace (Undis.)</t>
  </si>
  <si>
    <t>Sidewalk, 4", Concrete, Remove and Replace (Undis.)</t>
  </si>
  <si>
    <t>Signal Detection Loop, Replace</t>
  </si>
  <si>
    <t>Line, Thermoplastic, Solid, White, 4"</t>
  </si>
  <si>
    <t>Line, Thermoplastic, Solid, Yellow, 4"</t>
  </si>
  <si>
    <t>Line, Thermoplastic, Broken, White, 4"</t>
  </si>
  <si>
    <t>Line, Thermoplastic, Broken, Yellow, 4"</t>
  </si>
  <si>
    <t>Transverse Markings, Thermoplastic, White, 4" (Undis.)</t>
  </si>
  <si>
    <t>Transverse Markings, Thermoplastic, Crosswalk, White, 6"</t>
  </si>
  <si>
    <t>Transverse Marking, Thermo, Crosshatch Line, Yellow 8"</t>
  </si>
  <si>
    <t>Transverse Markings, Thermoplastic, Crosshatch, Yellow, 12"</t>
  </si>
  <si>
    <t>Transverse Markings, Thermoplastic, Stop Bar or Crosswalk Marking, White, 24"</t>
  </si>
  <si>
    <r>
      <t>Pavement Message Marking, Thermoplastic, Word, White, (STOP</t>
    </r>
    <r>
      <rPr>
        <b/>
        <sz val="11"/>
        <rFont val="Franklin Gothic Book"/>
        <family val="2"/>
      </rPr>
      <t>,</t>
    </r>
    <r>
      <rPr>
        <sz val="11"/>
        <rFont val="Franklin Gothic Book"/>
        <family val="2"/>
      </rPr>
      <t xml:space="preserve"> ONLY, SCHOOL)</t>
    </r>
  </si>
  <si>
    <t>Pavement Message Marking, Thermoplastic, White, Lane Indication Arrow</t>
  </si>
  <si>
    <t>Pavement Message Marking, Thermoplastic, White, Handicap Parking or Sharrow Symbol</t>
  </si>
  <si>
    <t>Line, Paint, Solid, White, 4" (UNDIS.)</t>
  </si>
  <si>
    <t>Line, Paint, Solid, Yellow, 4" (UNDIS.)</t>
  </si>
  <si>
    <t>Line, Paint, Broken, White, 4"  (UNDIS.)</t>
  </si>
  <si>
    <t>Line, Paint, Broken, Yellow, 4"  (UNDIS.)</t>
  </si>
  <si>
    <t>Transverse Markings, Paint, White, 4"  (UNDIS.)</t>
  </si>
  <si>
    <t>Transverse Markings,Paint, Crosswalk, White, 6"  (UNDIS.)</t>
  </si>
  <si>
    <t>Transverse Marking, Paint, Crosshatch Line, Yellow 8"</t>
  </si>
  <si>
    <t>Transverse Markings, Paint, Crosshatch, Yellow, 12"  (UNDIS.)</t>
  </si>
  <si>
    <t>Transverse Markings, Paint, Stop Bar or Crosswalk Marking, White, 24"  (UNDIS.)</t>
  </si>
  <si>
    <t xml:space="preserve">Pavement Message Marking, Paint, Word, White, 4 Letters (STOP, ONLY)  (UNDIS.) </t>
  </si>
  <si>
    <t xml:space="preserve">Pavement Message Marking, Paint, White, Lane Indication Arrow (UNDIS.) </t>
  </si>
  <si>
    <t>Pavement Message Marking, Paint, White, Handicap Parking Symbol (UNDIS.)</t>
  </si>
  <si>
    <t>Structure Adjustment, Grade Ring / Risers (Undis.)</t>
  </si>
  <si>
    <t>Structure Adjustment, Reconstruct (Undis.)</t>
  </si>
  <si>
    <t>Structure, Frame / Lid Replacement</t>
  </si>
  <si>
    <t>Structure Adjustment, Valve Box (Undis.)</t>
  </si>
  <si>
    <t>Maintenance of Traffic</t>
  </si>
  <si>
    <t>QC Sampling and Testing Allowance (beyond incidental)</t>
  </si>
  <si>
    <t>ESTIMATED COST</t>
  </si>
  <si>
    <t>CUMULATIVE</t>
  </si>
  <si>
    <r>
      <t>CHARLESTOWN ROAD</t>
    </r>
    <r>
      <rPr>
        <vertAlign val="superscript"/>
        <sz val="8.8000000000000007"/>
        <rFont val="Calibri"/>
        <family val="2"/>
      </rPr>
      <t>2</t>
    </r>
  </si>
  <si>
    <t>VINCENNES ST</t>
  </si>
  <si>
    <t>HEDDEN CT</t>
  </si>
  <si>
    <t>PRINCIPAL ARTERIAL</t>
  </si>
  <si>
    <t>ASPHALT</t>
  </si>
  <si>
    <t>GRID CRACK SEALING</t>
  </si>
  <si>
    <t>SPRING ST (PATCHING)</t>
  </si>
  <si>
    <t>STATE ST</t>
  </si>
  <si>
    <t>CITY LIMITS</t>
  </si>
  <si>
    <t>ELM ST  (PATCHING)</t>
  </si>
  <si>
    <t>SILVER ST</t>
  </si>
  <si>
    <t>STATE ST  (PATCHING)</t>
  </si>
  <si>
    <t>ELM</t>
  </si>
  <si>
    <t>GREEN VALLEY RD</t>
  </si>
  <si>
    <t>PEARL ST</t>
  </si>
  <si>
    <t>MAIN ST</t>
  </si>
  <si>
    <t>GRAYBROOK LN</t>
  </si>
  <si>
    <t>MAJOR COLLECTOR</t>
  </si>
  <si>
    <t>MARKET ST</t>
  </si>
  <si>
    <t>VINCENNES</t>
  </si>
  <si>
    <t>CHARLESTOWN RD</t>
  </si>
  <si>
    <t>BANK ST</t>
  </si>
  <si>
    <t>OAK ST</t>
  </si>
  <si>
    <t>CHERRY ST</t>
  </si>
  <si>
    <t>OLD VINCENNES RD</t>
  </si>
  <si>
    <t>SPRING ST</t>
  </si>
  <si>
    <t>MINOR ARTERIAL</t>
  </si>
  <si>
    <t>BONO RD</t>
  </si>
  <si>
    <t>E. EIGTH ST</t>
  </si>
  <si>
    <t>GRANT LINE RD</t>
  </si>
  <si>
    <t>ROANOKE AVE</t>
  </si>
  <si>
    <t>MCDONALD LN</t>
  </si>
  <si>
    <t>END</t>
  </si>
  <si>
    <t>LOCAL</t>
  </si>
  <si>
    <t>RAMP</t>
  </si>
  <si>
    <t>LYNNWOOD DR</t>
  </si>
  <si>
    <t>W SEVENTH ST</t>
  </si>
  <si>
    <t>CHERRY HILL RD</t>
  </si>
  <si>
    <t>END (TO SOUTH)</t>
  </si>
  <si>
    <t>DEWEY STREET</t>
  </si>
  <si>
    <t>END OF ALLEY TO EAST</t>
  </si>
  <si>
    <t>GALT ST</t>
  </si>
  <si>
    <t>CONSERVATIVE ST</t>
  </si>
  <si>
    <t>TROY ST</t>
  </si>
  <si>
    <t>LANCASTER DR</t>
  </si>
  <si>
    <t>MOUNT TABOR RD</t>
  </si>
  <si>
    <t>LANCASTER CIRCLE</t>
  </si>
  <si>
    <t>REDWOOD DR</t>
  </si>
  <si>
    <t>GLENVIEW HEIGHTS</t>
  </si>
  <si>
    <t>REDBUD DR</t>
  </si>
  <si>
    <t>GLENVIEW HEIGHTS RD (EAST)</t>
  </si>
  <si>
    <t>GLENVIEW HEIGHTS (WEST)</t>
  </si>
  <si>
    <t>GLENMILL DR</t>
  </si>
  <si>
    <t>GLENMILL RD</t>
  </si>
  <si>
    <t>VILLAGE PINE DR</t>
  </si>
  <si>
    <t>N PINEVIEW CT</t>
  </si>
  <si>
    <t>MILLS LN</t>
  </si>
  <si>
    <t>HAMLET DR</t>
  </si>
  <si>
    <t>TINGLE DR</t>
  </si>
  <si>
    <t>WINDOVER DR</t>
  </si>
  <si>
    <t>GREEN HILL CT</t>
  </si>
  <si>
    <t>VILLAGE CIR</t>
  </si>
  <si>
    <t>ALLEY (E THIRD AND E FOURTH)</t>
  </si>
  <si>
    <t>ALLEY</t>
  </si>
  <si>
    <t>ALLEY (BANK ST AND PEARL ST)</t>
  </si>
  <si>
    <t>BRANDYWYNNE LN</t>
  </si>
  <si>
    <t>TRIMMINGHAM RD</t>
  </si>
  <si>
    <t>WOODBOURNE DR</t>
  </si>
  <si>
    <t>CASTLEWOOD DR</t>
  </si>
  <si>
    <t>KNOBVIEW AVE</t>
  </si>
  <si>
    <t>BENTBROOK DR</t>
  </si>
  <si>
    <t>SCHELL LN</t>
  </si>
  <si>
    <t>DRAWBROOK DR</t>
  </si>
  <si>
    <t>DRAWBROOK CIR</t>
  </si>
  <si>
    <t>BROOKRIDGE CIR</t>
  </si>
  <si>
    <t>W NINTH ST</t>
  </si>
  <si>
    <t>W FOURTH ST</t>
  </si>
  <si>
    <t>TRACKS</t>
  </si>
  <si>
    <t>E SIXTH ST</t>
  </si>
  <si>
    <t>BULL DOG ALLEY</t>
  </si>
  <si>
    <t>SHELBY ST</t>
  </si>
  <si>
    <t>THOMAS ST</t>
  </si>
  <si>
    <t>KLERNER LN</t>
  </si>
  <si>
    <t>MT TABOR RD</t>
  </si>
  <si>
    <t>ALLEY (LOCUST AND BEELER)</t>
  </si>
  <si>
    <t>CHARLES ST</t>
  </si>
  <si>
    <t>CLARK ST</t>
  </si>
  <si>
    <t>TOTALS:</t>
  </si>
  <si>
    <t xml:space="preserve">Pay Item </t>
  </si>
  <si>
    <t>Description</t>
  </si>
  <si>
    <t>Quantity</t>
  </si>
  <si>
    <t>Unit</t>
  </si>
  <si>
    <t>Extended Price</t>
  </si>
  <si>
    <t>Milling 0-3", Alley, 1.5" Avg. Depth, HMA (Undis.)</t>
  </si>
  <si>
    <t>Common Excavation (Undis.)</t>
  </si>
  <si>
    <t>QC/QA HMA, 2, 64, Surface 9.5 mm for Alleys (undis.)</t>
  </si>
  <si>
    <t>Transverse Marking, Thermo, Crosshatch Line, Yellow 8" (Undis.)</t>
  </si>
  <si>
    <t>Transverse Markings, Thermoplastic, Crosshatch, Yellow, 12" (Undis.)</t>
  </si>
  <si>
    <t>Pavement Message Marking, Thermoplastic, Word, White, (STOP, ONLY, SCHOOL)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</si>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</sst>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_);_(&quot;$&quot;* \(#,##0\);_(&quot;$&quot;* &quot;-&quot;??_);_(@_)"/>
    <numFmt numFmtId="166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Franklin Gothic Book"/>
      <family val="2"/>
    </font>
    <font>
      <sz val="10"/>
      <color theme="1"/>
      <name val="Franklin Gothic Book"/>
      <family val="2"/>
    </font>
    <font>
      <sz val="11"/>
      <color theme="1"/>
      <name val="Franklin Gothic Book"/>
      <family val="2"/>
    </font>
    <font>
      <sz val="11"/>
      <name val="Franklin Gothic Book"/>
      <family val="2"/>
    </font>
    <font>
      <b/>
      <sz val="11"/>
      <name val="Franklin Gothic Book"/>
      <family val="2"/>
    </font>
    <font>
      <sz val="11"/>
      <name val="Calibri"/>
      <family val="2"/>
      <scheme val="minor"/>
    </font>
    <font>
      <vertAlign val="superscript"/>
      <sz val="8.8000000000000007"/>
      <name val="Calibri"/>
      <family val="2"/>
    </font>
    <font>
      <b/>
      <sz val="11"/>
      <color rgb="FFFF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0" fillId="2" borderId="5" xfId="0" applyFill="1" applyBorder="1"/>
    <xf numFmtId="37" fontId="4" fillId="2" borderId="6" xfId="0" applyNumberFormat="1" applyFont="1" applyFill="1" applyBorder="1" applyAlignment="1">
      <alignment horizontal="center" vertical="center"/>
    </xf>
    <xf numFmtId="37" fontId="4" fillId="2" borderId="2" xfId="0" applyNumberFormat="1" applyFont="1" applyFill="1" applyBorder="1" applyAlignment="1">
      <alignment horizontal="center" vertical="center"/>
    </xf>
    <xf numFmtId="37" fontId="4" fillId="2" borderId="7" xfId="0" applyNumberFormat="1" applyFont="1" applyFill="1" applyBorder="1" applyAlignment="1">
      <alignment horizontal="center" vertical="center"/>
    </xf>
    <xf numFmtId="37" fontId="4" fillId="2" borderId="8" xfId="0" applyNumberFormat="1" applyFont="1" applyFill="1" applyBorder="1" applyAlignment="1">
      <alignment horizontal="center" vertical="center"/>
    </xf>
    <xf numFmtId="37" fontId="4" fillId="2" borderId="9" xfId="0" applyNumberFormat="1" applyFont="1" applyFill="1" applyBorder="1" applyAlignment="1">
      <alignment horizontal="center" vertical="center"/>
    </xf>
    <xf numFmtId="37" fontId="4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37" fontId="4" fillId="2" borderId="10" xfId="0" applyNumberFormat="1" applyFont="1" applyFill="1" applyBorder="1" applyAlignment="1">
      <alignment horizontal="center"/>
    </xf>
    <xf numFmtId="37" fontId="4" fillId="2" borderId="11" xfId="0" applyNumberFormat="1" applyFont="1" applyFill="1" applyBorder="1" applyAlignment="1">
      <alignment horizontal="center"/>
    </xf>
    <xf numFmtId="37" fontId="5" fillId="2" borderId="11" xfId="0" applyNumberFormat="1" applyFont="1" applyFill="1" applyBorder="1" applyAlignment="1">
      <alignment horizontal="right"/>
    </xf>
    <xf numFmtId="44" fontId="5" fillId="2" borderId="12" xfId="0" applyNumberFormat="1" applyFont="1" applyFill="1" applyBorder="1" applyAlignment="1">
      <alignment horizontal="center"/>
    </xf>
    <xf numFmtId="44" fontId="5" fillId="2" borderId="13" xfId="0" applyNumberFormat="1" applyFont="1" applyFill="1" applyBorder="1" applyAlignment="1">
      <alignment horizontal="center"/>
    </xf>
    <xf numFmtId="44" fontId="5" fillId="2" borderId="14" xfId="0" applyNumberFormat="1" applyFont="1" applyFill="1" applyBorder="1" applyAlignment="1">
      <alignment horizontal="center"/>
    </xf>
    <xf numFmtId="37" fontId="4" fillId="2" borderId="15" xfId="0" applyNumberFormat="1" applyFont="1" applyFill="1" applyBorder="1" applyAlignment="1">
      <alignment horizontal="center" vertical="center"/>
    </xf>
    <xf numFmtId="0" fontId="0" fillId="2" borderId="16" xfId="0" applyFill="1" applyBorder="1"/>
    <xf numFmtId="37" fontId="4" fillId="2" borderId="17" xfId="0" applyNumberFormat="1" applyFont="1" applyFill="1" applyBorder="1" applyAlignment="1">
      <alignment horizontal="center"/>
    </xf>
    <xf numFmtId="37" fontId="6" fillId="2" borderId="18" xfId="0" applyNumberFormat="1" applyFont="1" applyFill="1" applyBorder="1" applyAlignment="1">
      <alignment horizontal="right"/>
    </xf>
    <xf numFmtId="37" fontId="6" fillId="2" borderId="18" xfId="0" applyNumberFormat="1" applyFont="1" applyFill="1" applyBorder="1" applyAlignment="1">
      <alignment horizontal="center"/>
    </xf>
    <xf numFmtId="37" fontId="7" fillId="2" borderId="18" xfId="0" applyNumberFormat="1" applyFont="1" applyFill="1" applyBorder="1" applyAlignment="1">
      <alignment horizontal="right"/>
    </xf>
    <xf numFmtId="37" fontId="7" fillId="2" borderId="19" xfId="0" applyNumberFormat="1" applyFont="1" applyFill="1" applyBorder="1" applyAlignment="1">
      <alignment horizontal="right"/>
    </xf>
    <xf numFmtId="37" fontId="7" fillId="2" borderId="20" xfId="0" applyNumberFormat="1" applyFont="1" applyFill="1" applyBorder="1" applyAlignment="1">
      <alignment horizontal="right"/>
    </xf>
    <xf numFmtId="37" fontId="7" fillId="2" borderId="20" xfId="0" applyNumberFormat="1" applyFont="1" applyFill="1" applyBorder="1" applyAlignment="1">
      <alignment horizontal="center"/>
    </xf>
    <xf numFmtId="37" fontId="7" fillId="2" borderId="21" xfId="0" applyNumberFormat="1" applyFont="1" applyFill="1" applyBorder="1" applyAlignment="1">
      <alignment horizontal="right"/>
    </xf>
    <xf numFmtId="37" fontId="6" fillId="2" borderId="18" xfId="0" applyNumberFormat="1" applyFont="1" applyFill="1" applyBorder="1" applyAlignment="1">
      <alignment horizontal="center" vertical="center"/>
    </xf>
    <xf numFmtId="0" fontId="8" fillId="2" borderId="22" xfId="0" applyFont="1" applyFill="1" applyBorder="1"/>
    <xf numFmtId="0" fontId="8" fillId="0" borderId="0" xfId="0" applyFont="1"/>
    <xf numFmtId="0" fontId="0" fillId="2" borderId="23" xfId="0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left" textRotation="90" wrapText="1"/>
    </xf>
    <xf numFmtId="0" fontId="8" fillId="2" borderId="27" xfId="0" applyFont="1" applyFill="1" applyBorder="1" applyAlignment="1">
      <alignment horizontal="left" textRotation="90" wrapText="1"/>
    </xf>
    <xf numFmtId="0" fontId="8" fillId="2" borderId="27" xfId="0" applyFont="1" applyFill="1" applyBorder="1" applyAlignment="1">
      <alignment horizontal="center" textRotation="90" wrapText="1"/>
    </xf>
    <xf numFmtId="0" fontId="8" fillId="2" borderId="28" xfId="0" applyFont="1" applyFill="1" applyBorder="1" applyAlignment="1">
      <alignment horizontal="left" textRotation="90" wrapText="1"/>
    </xf>
    <xf numFmtId="0" fontId="9" fillId="2" borderId="27" xfId="0" applyFont="1" applyFill="1" applyBorder="1" applyAlignment="1">
      <alignment horizontal="left" textRotation="90" wrapText="1"/>
    </xf>
    <xf numFmtId="0" fontId="8" fillId="2" borderId="29" xfId="0" applyFont="1" applyFill="1" applyBorder="1" applyAlignment="1">
      <alignment horizontal="left" textRotation="90" wrapText="1"/>
    </xf>
    <xf numFmtId="0" fontId="8" fillId="2" borderId="30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/>
    </xf>
    <xf numFmtId="0" fontId="11" fillId="0" borderId="32" xfId="0" applyFont="1" applyBorder="1"/>
    <xf numFmtId="0" fontId="11" fillId="0" borderId="32" xfId="0" applyFont="1" applyBorder="1" applyAlignment="1">
      <alignment horizontal="center"/>
    </xf>
    <xf numFmtId="164" fontId="11" fillId="0" borderId="32" xfId="0" applyNumberFormat="1" applyFont="1" applyBorder="1" applyAlignment="1">
      <alignment horizontal="center"/>
    </xf>
    <xf numFmtId="1" fontId="11" fillId="0" borderId="32" xfId="0" applyNumberFormat="1" applyFont="1" applyBorder="1" applyAlignment="1">
      <alignment horizontal="center"/>
    </xf>
    <xf numFmtId="2" fontId="11" fillId="0" borderId="32" xfId="0" applyNumberFormat="1" applyFont="1" applyBorder="1" applyAlignment="1">
      <alignment horizontal="center"/>
    </xf>
    <xf numFmtId="44" fontId="11" fillId="0" borderId="32" xfId="2" applyFont="1" applyFill="1" applyBorder="1" applyAlignment="1">
      <alignment horizontal="center"/>
    </xf>
    <xf numFmtId="0" fontId="11" fillId="0" borderId="33" xfId="0" applyFont="1" applyBorder="1" applyAlignment="1">
      <alignment horizontal="center"/>
    </xf>
    <xf numFmtId="165" fontId="11" fillId="0" borderId="34" xfId="2" applyNumberFormat="1" applyFont="1" applyBorder="1" applyAlignment="1">
      <alignment horizontal="center"/>
    </xf>
    <xf numFmtId="165" fontId="11" fillId="0" borderId="32" xfId="0" applyNumberFormat="1" applyFont="1" applyBorder="1"/>
    <xf numFmtId="0" fontId="0" fillId="0" borderId="0" xfId="0" applyAlignment="1">
      <alignment horizontal="center"/>
    </xf>
    <xf numFmtId="0" fontId="11" fillId="3" borderId="32" xfId="0" applyFont="1" applyFill="1" applyBorder="1"/>
    <xf numFmtId="0" fontId="11" fillId="3" borderId="32" xfId="0" applyFont="1" applyFill="1" applyBorder="1" applyAlignment="1">
      <alignment horizontal="center"/>
    </xf>
    <xf numFmtId="164" fontId="11" fillId="3" borderId="32" xfId="0" applyNumberFormat="1" applyFont="1" applyFill="1" applyBorder="1" applyAlignment="1">
      <alignment horizontal="center"/>
    </xf>
    <xf numFmtId="1" fontId="11" fillId="3" borderId="32" xfId="0" applyNumberFormat="1" applyFont="1" applyFill="1" applyBorder="1" applyAlignment="1">
      <alignment horizontal="center"/>
    </xf>
    <xf numFmtId="2" fontId="11" fillId="3" borderId="32" xfId="0" applyNumberFormat="1" applyFont="1" applyFill="1" applyBorder="1" applyAlignment="1">
      <alignment horizontal="center"/>
    </xf>
    <xf numFmtId="0" fontId="11" fillId="3" borderId="33" xfId="0" applyFont="1" applyFill="1" applyBorder="1" applyAlignment="1">
      <alignment horizontal="center"/>
    </xf>
    <xf numFmtId="165" fontId="11" fillId="3" borderId="34" xfId="2" applyNumberFormat="1" applyFont="1" applyFill="1" applyBorder="1" applyAlignment="1">
      <alignment horizontal="center"/>
    </xf>
    <xf numFmtId="165" fontId="11" fillId="3" borderId="32" xfId="0" applyNumberFormat="1" applyFont="1" applyFill="1" applyBorder="1"/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1" fillId="0" borderId="0" xfId="0" applyFont="1" applyAlignment="1">
      <alignment horizontal="center"/>
    </xf>
    <xf numFmtId="0" fontId="11" fillId="0" borderId="0" xfId="0" applyFont="1"/>
    <xf numFmtId="44" fontId="11" fillId="0" borderId="33" xfId="2" applyFont="1" applyFill="1" applyBorder="1" applyAlignment="1">
      <alignment horizontal="right"/>
    </xf>
    <xf numFmtId="0" fontId="13" fillId="0" borderId="0" xfId="0" applyFont="1"/>
    <xf numFmtId="0" fontId="0" fillId="0" borderId="32" xfId="0" applyBorder="1"/>
    <xf numFmtId="0" fontId="0" fillId="0" borderId="32" xfId="0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44" fontId="0" fillId="0" borderId="33" xfId="2" applyFont="1" applyFill="1" applyBorder="1" applyAlignment="1">
      <alignment horizontal="right"/>
    </xf>
    <xf numFmtId="0" fontId="0" fillId="0" borderId="32" xfId="0" applyBorder="1" applyAlignment="1">
      <alignment horizontal="left"/>
    </xf>
    <xf numFmtId="0" fontId="0" fillId="0" borderId="33" xfId="0" applyBorder="1"/>
    <xf numFmtId="165" fontId="11" fillId="0" borderId="34" xfId="2" applyNumberFormat="1" applyFont="1" applyFill="1" applyBorder="1" applyAlignment="1">
      <alignment horizontal="center"/>
    </xf>
    <xf numFmtId="0" fontId="11" fillId="0" borderId="32" xfId="0" applyFont="1" applyBorder="1" applyAlignment="1">
      <alignment horizontal="left"/>
    </xf>
    <xf numFmtId="2" fontId="0" fillId="0" borderId="33" xfId="2" applyNumberFormat="1" applyFont="1" applyFill="1" applyBorder="1" applyAlignment="1">
      <alignment horizontal="right"/>
    </xf>
    <xf numFmtId="0" fontId="0" fillId="0" borderId="32" xfId="0" applyBorder="1" applyAlignment="1">
      <alignment horizontal="left" vertical="center"/>
    </xf>
    <xf numFmtId="2" fontId="0" fillId="0" borderId="32" xfId="0" applyNumberFormat="1" applyBorder="1" applyAlignment="1">
      <alignment horizontal="center"/>
    </xf>
    <xf numFmtId="165" fontId="0" fillId="0" borderId="34" xfId="2" applyNumberFormat="1" applyFont="1" applyBorder="1"/>
    <xf numFmtId="0" fontId="0" fillId="0" borderId="33" xfId="0" applyBorder="1" applyAlignment="1">
      <alignment horizontal="center"/>
    </xf>
    <xf numFmtId="3" fontId="0" fillId="0" borderId="32" xfId="0" applyNumberFormat="1" applyBorder="1" applyAlignment="1">
      <alignment horizontal="center"/>
    </xf>
    <xf numFmtId="165" fontId="0" fillId="0" borderId="33" xfId="2" applyNumberFormat="1" applyFont="1" applyBorder="1"/>
    <xf numFmtId="0" fontId="11" fillId="0" borderId="19" xfId="0" applyFont="1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44" fontId="11" fillId="0" borderId="20" xfId="2" applyFont="1" applyFill="1" applyBorder="1" applyAlignment="1">
      <alignment horizontal="center"/>
    </xf>
    <xf numFmtId="165" fontId="0" fillId="0" borderId="21" xfId="2" applyNumberFormat="1" applyFont="1" applyBorder="1"/>
    <xf numFmtId="1" fontId="0" fillId="0" borderId="0" xfId="0" applyNumberFormat="1" applyAlignment="1">
      <alignment horizontal="center"/>
    </xf>
    <xf numFmtId="0" fontId="2" fillId="4" borderId="32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vertical="center" wrapText="1"/>
    </xf>
    <xf numFmtId="3" fontId="0" fillId="0" borderId="32" xfId="1" applyNumberFormat="1" applyFont="1" applyBorder="1" applyAlignment="1">
      <alignment horizontal="center" vertical="center"/>
    </xf>
    <xf numFmtId="44" fontId="0" fillId="0" borderId="32" xfId="2" applyFont="1" applyBorder="1" applyAlignment="1">
      <alignment vertical="center"/>
    </xf>
    <xf numFmtId="0" fontId="0" fillId="0" borderId="32" xfId="0" applyBorder="1" applyAlignment="1">
      <alignment vertical="center"/>
    </xf>
    <xf numFmtId="3" fontId="0" fillId="0" borderId="0" xfId="1" applyNumberFormat="1" applyFont="1" applyBorder="1" applyAlignment="1">
      <alignment horizontal="center" vertical="center"/>
    </xf>
    <xf numFmtId="166" fontId="0" fillId="0" borderId="32" xfId="1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44" fontId="14" fillId="0" borderId="35" xfId="2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N0230540_New%20Albany%20-%202021%20Paving\Design\Estimates\2021%20Paving%20Cost%20Estim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Master List"/>
      <sheetName val="Utility Check"/>
      <sheetName val="2021 Bid List"/>
      <sheetName val="Bid Tab"/>
      <sheetName val="Bid Tab Estimat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724FC-72B0-4A9D-BFEA-FD447841E779}">
  <dimension ref="A1:G65"/>
  <sheetViews>
    <sheetView tabSelected="1" zoomScaleNormal="100" workbookViewId="0">
      <selection activeCell="F2" sqref="F2"/>
    </sheetView>
  </sheetViews>
  <sheetFormatPr defaultRowHeight="15" x14ac:dyDescent="0.25"/>
  <cols>
    <col min="1" max="1" width="9.85546875" style="60" customWidth="1"/>
    <col min="2" max="2" width="81.85546875" customWidth="1"/>
    <col min="3" max="3" width="13.85546875" style="60" customWidth="1"/>
    <col min="4" max="4" width="13.5703125" customWidth="1"/>
    <col min="5" max="5" width="14" customWidth="1"/>
    <col min="6" max="6" width="20.7109375" customWidth="1"/>
    <col min="7" max="7" width="9.140625" style="104"/>
  </cols>
  <sheetData>
    <row r="1" spans="1:7" ht="24.95" customHeight="1" x14ac:dyDescent="0.25">
      <c r="A1" s="102" t="s">
        <v>167</v>
      </c>
      <c r="B1" s="103" t="s">
        <v>168</v>
      </c>
      <c r="C1" s="102" t="s">
        <v>169</v>
      </c>
      <c r="D1" s="102" t="s">
        <v>170</v>
      </c>
      <c r="E1" s="102" t="s">
        <v>0</v>
      </c>
      <c r="F1" s="102" t="s">
        <v>171</v>
      </c>
    </row>
    <row r="2" spans="1:7" ht="24.95" customHeight="1" x14ac:dyDescent="0.25">
      <c r="A2" s="105">
        <v>1</v>
      </c>
      <c r="B2" s="106" t="s">
        <v>16</v>
      </c>
      <c r="C2" s="107">
        <v>140748</v>
      </c>
      <c r="D2" s="105" t="s">
        <v>2</v>
      </c>
      <c r="E2" s="108"/>
      <c r="F2" s="108"/>
    </row>
    <row r="3" spans="1:7" ht="24.95" customHeight="1" x14ac:dyDescent="0.25">
      <c r="A3" s="105">
        <v>2</v>
      </c>
      <c r="B3" s="106" t="s">
        <v>172</v>
      </c>
      <c r="C3" s="107">
        <v>919</v>
      </c>
      <c r="D3" s="105" t="s">
        <v>2</v>
      </c>
      <c r="E3" s="108"/>
      <c r="F3" s="108"/>
    </row>
    <row r="4" spans="1:7" ht="24.95" customHeight="1" x14ac:dyDescent="0.25">
      <c r="A4" s="105">
        <v>3</v>
      </c>
      <c r="B4" s="109" t="s">
        <v>18</v>
      </c>
      <c r="C4" s="107">
        <v>1000</v>
      </c>
      <c r="D4" s="105" t="s">
        <v>2</v>
      </c>
      <c r="E4" s="108"/>
      <c r="F4" s="108"/>
      <c r="G4" s="110"/>
    </row>
    <row r="5" spans="1:7" ht="24.95" customHeight="1" x14ac:dyDescent="0.25">
      <c r="A5" s="105">
        <v>4</v>
      </c>
      <c r="B5" s="106" t="s">
        <v>19</v>
      </c>
      <c r="C5" s="107">
        <v>500</v>
      </c>
      <c r="D5" s="105" t="s">
        <v>2</v>
      </c>
      <c r="E5" s="108"/>
      <c r="F5" s="108"/>
      <c r="G5" s="110"/>
    </row>
    <row r="6" spans="1:7" ht="24.95" customHeight="1" x14ac:dyDescent="0.25">
      <c r="A6" s="105">
        <v>5</v>
      </c>
      <c r="B6" s="106" t="s">
        <v>173</v>
      </c>
      <c r="C6" s="107">
        <v>100</v>
      </c>
      <c r="D6" s="105" t="s">
        <v>3</v>
      </c>
      <c r="E6" s="108"/>
      <c r="F6" s="108"/>
      <c r="G6" s="110"/>
    </row>
    <row r="7" spans="1:7" ht="24.95" customHeight="1" x14ac:dyDescent="0.25">
      <c r="A7" s="105">
        <v>6</v>
      </c>
      <c r="B7" s="106" t="s">
        <v>21</v>
      </c>
      <c r="C7" s="107">
        <v>3370</v>
      </c>
      <c r="D7" s="105" t="s">
        <v>2</v>
      </c>
      <c r="E7" s="108"/>
      <c r="F7" s="108"/>
    </row>
    <row r="8" spans="1:7" ht="24.95" customHeight="1" x14ac:dyDescent="0.25">
      <c r="A8" s="105">
        <v>7</v>
      </c>
      <c r="B8" s="106" t="s">
        <v>22</v>
      </c>
      <c r="C8" s="107">
        <v>1023</v>
      </c>
      <c r="D8" s="105" t="s">
        <v>2</v>
      </c>
      <c r="E8" s="108"/>
      <c r="F8" s="108"/>
    </row>
    <row r="9" spans="1:7" ht="24.95" customHeight="1" x14ac:dyDescent="0.25">
      <c r="A9" s="105">
        <v>8</v>
      </c>
      <c r="B9" s="106" t="s">
        <v>23</v>
      </c>
      <c r="C9" s="107">
        <v>4366</v>
      </c>
      <c r="D9" s="105" t="s">
        <v>2</v>
      </c>
      <c r="E9" s="108"/>
      <c r="F9" s="108"/>
    </row>
    <row r="10" spans="1:7" ht="24.95" customHeight="1" x14ac:dyDescent="0.25">
      <c r="A10" s="105">
        <v>9</v>
      </c>
      <c r="B10" s="106" t="s">
        <v>24</v>
      </c>
      <c r="C10" s="107">
        <v>11264</v>
      </c>
      <c r="D10" s="105" t="s">
        <v>4</v>
      </c>
      <c r="E10" s="108"/>
      <c r="F10" s="108"/>
    </row>
    <row r="11" spans="1:7" ht="24.95" customHeight="1" x14ac:dyDescent="0.25">
      <c r="A11" s="105">
        <v>10</v>
      </c>
      <c r="B11" s="109" t="s">
        <v>25</v>
      </c>
      <c r="C11" s="107">
        <v>100</v>
      </c>
      <c r="D11" s="105" t="s">
        <v>4</v>
      </c>
      <c r="E11" s="108"/>
      <c r="F11" s="108"/>
      <c r="G11" s="110"/>
    </row>
    <row r="12" spans="1:7" ht="24.95" customHeight="1" x14ac:dyDescent="0.25">
      <c r="A12" s="105">
        <v>11</v>
      </c>
      <c r="B12" s="109" t="s">
        <v>26</v>
      </c>
      <c r="C12" s="107">
        <v>400</v>
      </c>
      <c r="D12" s="105" t="s">
        <v>4</v>
      </c>
      <c r="E12" s="108"/>
      <c r="F12" s="108"/>
      <c r="G12" s="110"/>
    </row>
    <row r="13" spans="1:7" ht="24.95" customHeight="1" x14ac:dyDescent="0.25">
      <c r="A13" s="105">
        <v>12</v>
      </c>
      <c r="B13" s="106" t="s">
        <v>27</v>
      </c>
      <c r="C13" s="107">
        <v>2367</v>
      </c>
      <c r="D13" s="105" t="s">
        <v>4</v>
      </c>
      <c r="E13" s="108"/>
      <c r="F13" s="108"/>
    </row>
    <row r="14" spans="1:7" ht="24.95" customHeight="1" x14ac:dyDescent="0.25">
      <c r="A14" s="105">
        <v>13</v>
      </c>
      <c r="B14" s="106" t="s">
        <v>174</v>
      </c>
      <c r="C14" s="107">
        <v>124</v>
      </c>
      <c r="D14" s="105" t="s">
        <v>4</v>
      </c>
      <c r="E14" s="108"/>
      <c r="F14" s="108"/>
    </row>
    <row r="15" spans="1:7" ht="24.95" customHeight="1" x14ac:dyDescent="0.25">
      <c r="A15" s="105">
        <v>14</v>
      </c>
      <c r="B15" s="109" t="s">
        <v>29</v>
      </c>
      <c r="C15" s="107">
        <v>1647</v>
      </c>
      <c r="D15" s="105" t="s">
        <v>4</v>
      </c>
      <c r="E15" s="108"/>
      <c r="F15" s="108"/>
    </row>
    <row r="16" spans="1:7" ht="24.95" customHeight="1" x14ac:dyDescent="0.25">
      <c r="A16" s="105">
        <v>15</v>
      </c>
      <c r="B16" s="106" t="s">
        <v>30</v>
      </c>
      <c r="C16" s="107">
        <v>1023</v>
      </c>
      <c r="D16" s="105" t="s">
        <v>2</v>
      </c>
      <c r="E16" s="108"/>
      <c r="F16" s="108"/>
    </row>
    <row r="17" spans="1:7" ht="24.95" customHeight="1" x14ac:dyDescent="0.25">
      <c r="A17" s="105">
        <v>16</v>
      </c>
      <c r="B17" s="106" t="s">
        <v>31</v>
      </c>
      <c r="C17" s="107">
        <v>3343</v>
      </c>
      <c r="D17" s="105" t="s">
        <v>2</v>
      </c>
      <c r="E17" s="108"/>
      <c r="F17" s="108"/>
    </row>
    <row r="18" spans="1:7" ht="24.95" customHeight="1" x14ac:dyDescent="0.25">
      <c r="A18" s="105">
        <v>17</v>
      </c>
      <c r="B18" s="109" t="s">
        <v>32</v>
      </c>
      <c r="C18" s="107">
        <v>1230</v>
      </c>
      <c r="D18" s="105" t="s">
        <v>4</v>
      </c>
      <c r="E18" s="108"/>
      <c r="F18" s="108"/>
    </row>
    <row r="19" spans="1:7" ht="24.95" customHeight="1" x14ac:dyDescent="0.25">
      <c r="A19" s="105">
        <v>18</v>
      </c>
      <c r="B19" s="109" t="s">
        <v>33</v>
      </c>
      <c r="C19" s="107">
        <v>100</v>
      </c>
      <c r="D19" s="105" t="s">
        <v>2</v>
      </c>
      <c r="E19" s="108"/>
      <c r="F19" s="108"/>
      <c r="G19" s="110"/>
    </row>
    <row r="20" spans="1:7" ht="24.95" customHeight="1" x14ac:dyDescent="0.25">
      <c r="A20" s="105">
        <v>19</v>
      </c>
      <c r="B20" s="106" t="s">
        <v>34</v>
      </c>
      <c r="C20" s="107">
        <v>48315</v>
      </c>
      <c r="D20" s="105" t="s">
        <v>5</v>
      </c>
      <c r="E20" s="108"/>
      <c r="F20" s="108"/>
    </row>
    <row r="21" spans="1:7" ht="24.95" customHeight="1" x14ac:dyDescent="0.25">
      <c r="A21" s="105">
        <v>20</v>
      </c>
      <c r="B21" s="106" t="s">
        <v>35</v>
      </c>
      <c r="C21" s="111">
        <v>33.699999999999996</v>
      </c>
      <c r="D21" s="105" t="s">
        <v>4</v>
      </c>
      <c r="E21" s="108"/>
      <c r="F21" s="108"/>
    </row>
    <row r="22" spans="1:7" ht="24.95" customHeight="1" x14ac:dyDescent="0.25">
      <c r="A22" s="105">
        <v>21</v>
      </c>
      <c r="B22" s="106" t="s">
        <v>36</v>
      </c>
      <c r="C22" s="107">
        <v>100</v>
      </c>
      <c r="D22" s="105" t="s">
        <v>5</v>
      </c>
      <c r="E22" s="108"/>
      <c r="F22" s="108"/>
      <c r="G22" s="110"/>
    </row>
    <row r="23" spans="1:7" ht="24.95" customHeight="1" x14ac:dyDescent="0.25">
      <c r="A23" s="105">
        <v>22</v>
      </c>
      <c r="B23" s="106" t="s">
        <v>37</v>
      </c>
      <c r="C23" s="107">
        <v>1</v>
      </c>
      <c r="D23" s="105" t="s">
        <v>6</v>
      </c>
      <c r="E23" s="108"/>
      <c r="F23" s="108"/>
    </row>
    <row r="24" spans="1:7" ht="24.95" customHeight="1" x14ac:dyDescent="0.25">
      <c r="A24" s="105">
        <v>23</v>
      </c>
      <c r="B24" s="106" t="s">
        <v>38</v>
      </c>
      <c r="C24" s="107">
        <v>500</v>
      </c>
      <c r="D24" s="105" t="s">
        <v>5</v>
      </c>
      <c r="E24" s="108"/>
      <c r="F24" s="108"/>
      <c r="G24" s="110"/>
    </row>
    <row r="25" spans="1:7" ht="24.95" customHeight="1" x14ac:dyDescent="0.25">
      <c r="A25" s="105">
        <v>24</v>
      </c>
      <c r="B25" s="109" t="s">
        <v>39</v>
      </c>
      <c r="C25" s="107">
        <v>7520</v>
      </c>
      <c r="D25" s="105" t="s">
        <v>5</v>
      </c>
      <c r="E25" s="108"/>
      <c r="F25" s="108"/>
    </row>
    <row r="26" spans="1:7" ht="24.95" customHeight="1" x14ac:dyDescent="0.25">
      <c r="A26" s="105">
        <v>25</v>
      </c>
      <c r="B26" s="106" t="s">
        <v>40</v>
      </c>
      <c r="C26" s="107">
        <v>455</v>
      </c>
      <c r="D26" s="105" t="s">
        <v>5</v>
      </c>
      <c r="E26" s="108"/>
      <c r="F26" s="108"/>
    </row>
    <row r="27" spans="1:7" ht="24.95" customHeight="1" x14ac:dyDescent="0.25">
      <c r="A27" s="105">
        <v>26</v>
      </c>
      <c r="B27" s="106" t="s">
        <v>41</v>
      </c>
      <c r="C27" s="107">
        <v>4269</v>
      </c>
      <c r="D27" s="105" t="s">
        <v>2</v>
      </c>
      <c r="E27" s="108"/>
      <c r="F27" s="108"/>
    </row>
    <row r="28" spans="1:7" ht="24.95" customHeight="1" x14ac:dyDescent="0.25">
      <c r="A28" s="105">
        <v>27</v>
      </c>
      <c r="B28" s="106" t="s">
        <v>42</v>
      </c>
      <c r="C28" s="107">
        <v>100</v>
      </c>
      <c r="D28" s="105" t="s">
        <v>2</v>
      </c>
      <c r="E28" s="108"/>
      <c r="F28" s="108"/>
      <c r="G28" s="110"/>
    </row>
    <row r="29" spans="1:7" ht="24.95" customHeight="1" x14ac:dyDescent="0.25">
      <c r="A29" s="105">
        <v>28</v>
      </c>
      <c r="B29" s="106" t="s">
        <v>43</v>
      </c>
      <c r="C29" s="107">
        <v>413</v>
      </c>
      <c r="D29" s="105" t="s">
        <v>2</v>
      </c>
      <c r="E29" s="108"/>
      <c r="F29" s="108"/>
    </row>
    <row r="30" spans="1:7" ht="24.95" customHeight="1" x14ac:dyDescent="0.25">
      <c r="A30" s="105">
        <v>29</v>
      </c>
      <c r="B30" s="106" t="s">
        <v>44</v>
      </c>
      <c r="C30" s="107">
        <v>500</v>
      </c>
      <c r="D30" s="105" t="s">
        <v>2</v>
      </c>
      <c r="E30" s="108"/>
      <c r="F30" s="108"/>
    </row>
    <row r="31" spans="1:7" ht="24.95" customHeight="1" x14ac:dyDescent="0.25">
      <c r="A31" s="105">
        <v>30</v>
      </c>
      <c r="B31" s="106" t="s">
        <v>45</v>
      </c>
      <c r="C31" s="107">
        <v>878</v>
      </c>
      <c r="D31" s="105" t="s">
        <v>2</v>
      </c>
      <c r="E31" s="108"/>
      <c r="F31" s="108"/>
    </row>
    <row r="32" spans="1:7" ht="24.95" customHeight="1" x14ac:dyDescent="0.25">
      <c r="A32" s="105">
        <v>31</v>
      </c>
      <c r="B32" s="109" t="s">
        <v>46</v>
      </c>
      <c r="C32" s="107">
        <v>48</v>
      </c>
      <c r="D32" s="105" t="s">
        <v>6</v>
      </c>
      <c r="E32" s="108"/>
      <c r="F32" s="108"/>
    </row>
    <row r="33" spans="1:6" ht="24.95" customHeight="1" x14ac:dyDescent="0.25">
      <c r="A33" s="105">
        <v>32</v>
      </c>
      <c r="B33" s="109" t="s">
        <v>47</v>
      </c>
      <c r="C33" s="107">
        <v>11040</v>
      </c>
      <c r="D33" s="105" t="s">
        <v>5</v>
      </c>
      <c r="E33" s="108"/>
      <c r="F33" s="108"/>
    </row>
    <row r="34" spans="1:6" ht="24.95" customHeight="1" x14ac:dyDescent="0.25">
      <c r="A34" s="105">
        <v>33</v>
      </c>
      <c r="B34" s="109" t="s">
        <v>48</v>
      </c>
      <c r="C34" s="107">
        <v>22684</v>
      </c>
      <c r="D34" s="105" t="s">
        <v>5</v>
      </c>
      <c r="E34" s="108"/>
      <c r="F34" s="108"/>
    </row>
    <row r="35" spans="1:6" ht="24.95" customHeight="1" x14ac:dyDescent="0.25">
      <c r="A35" s="105">
        <v>34</v>
      </c>
      <c r="B35" s="109" t="s">
        <v>49</v>
      </c>
      <c r="C35" s="107">
        <v>645</v>
      </c>
      <c r="D35" s="105" t="s">
        <v>5</v>
      </c>
      <c r="E35" s="108"/>
      <c r="F35" s="108"/>
    </row>
    <row r="36" spans="1:6" ht="24.95" customHeight="1" x14ac:dyDescent="0.25">
      <c r="A36" s="105">
        <v>35</v>
      </c>
      <c r="B36" s="109" t="s">
        <v>50</v>
      </c>
      <c r="C36" s="107">
        <v>300</v>
      </c>
      <c r="D36" s="105" t="s">
        <v>5</v>
      </c>
      <c r="E36" s="108"/>
      <c r="F36" s="108"/>
    </row>
    <row r="37" spans="1:6" ht="24.95" customHeight="1" x14ac:dyDescent="0.25">
      <c r="A37" s="105">
        <v>36</v>
      </c>
      <c r="B37" s="106" t="s">
        <v>51</v>
      </c>
      <c r="C37" s="107">
        <v>500</v>
      </c>
      <c r="D37" s="105" t="s">
        <v>5</v>
      </c>
      <c r="E37" s="108"/>
      <c r="F37" s="108"/>
    </row>
    <row r="38" spans="1:6" ht="24.95" customHeight="1" x14ac:dyDescent="0.25">
      <c r="A38" s="105">
        <v>37</v>
      </c>
      <c r="B38" s="106" t="s">
        <v>52</v>
      </c>
      <c r="C38" s="107">
        <v>4920</v>
      </c>
      <c r="D38" s="105" t="s">
        <v>5</v>
      </c>
      <c r="E38" s="108"/>
      <c r="F38" s="108"/>
    </row>
    <row r="39" spans="1:6" ht="24.95" customHeight="1" x14ac:dyDescent="0.25">
      <c r="A39" s="105">
        <v>38</v>
      </c>
      <c r="B39" s="106" t="s">
        <v>175</v>
      </c>
      <c r="C39" s="107">
        <v>350</v>
      </c>
      <c r="D39" s="105" t="s">
        <v>5</v>
      </c>
      <c r="E39" s="108"/>
      <c r="F39" s="108"/>
    </row>
    <row r="40" spans="1:6" ht="24.95" customHeight="1" x14ac:dyDescent="0.25">
      <c r="A40" s="105">
        <v>39</v>
      </c>
      <c r="B40" s="106" t="s">
        <v>176</v>
      </c>
      <c r="C40" s="107">
        <v>200</v>
      </c>
      <c r="D40" s="105" t="s">
        <v>5</v>
      </c>
      <c r="E40" s="108"/>
      <c r="F40" s="108"/>
    </row>
    <row r="41" spans="1:6" ht="24.95" customHeight="1" x14ac:dyDescent="0.25">
      <c r="A41" s="105">
        <v>40</v>
      </c>
      <c r="B41" s="106" t="s">
        <v>55</v>
      </c>
      <c r="C41" s="107">
        <v>1174</v>
      </c>
      <c r="D41" s="105" t="s">
        <v>5</v>
      </c>
      <c r="E41" s="108"/>
      <c r="F41" s="108"/>
    </row>
    <row r="42" spans="1:6" ht="24.95" customHeight="1" x14ac:dyDescent="0.25">
      <c r="A42" s="105">
        <v>41</v>
      </c>
      <c r="B42" s="106" t="s">
        <v>177</v>
      </c>
      <c r="C42" s="107">
        <v>71</v>
      </c>
      <c r="D42" s="105" t="s">
        <v>6</v>
      </c>
      <c r="E42" s="108"/>
      <c r="F42" s="108"/>
    </row>
    <row r="43" spans="1:6" ht="24.95" customHeight="1" x14ac:dyDescent="0.25">
      <c r="A43" s="105">
        <v>42</v>
      </c>
      <c r="B43" s="106" t="s">
        <v>57</v>
      </c>
      <c r="C43" s="107">
        <v>40</v>
      </c>
      <c r="D43" s="105" t="s">
        <v>6</v>
      </c>
      <c r="E43" s="108"/>
      <c r="F43" s="108"/>
    </row>
    <row r="44" spans="1:6" ht="24.95" customHeight="1" x14ac:dyDescent="0.25">
      <c r="A44" s="105">
        <v>43</v>
      </c>
      <c r="B44" s="106" t="s">
        <v>58</v>
      </c>
      <c r="C44" s="107">
        <v>5</v>
      </c>
      <c r="D44" s="105" t="s">
        <v>6</v>
      </c>
      <c r="E44" s="108"/>
      <c r="F44" s="108"/>
    </row>
    <row r="45" spans="1:6" ht="24.95" customHeight="1" x14ac:dyDescent="0.25">
      <c r="A45" s="105">
        <v>44</v>
      </c>
      <c r="B45" s="106" t="s">
        <v>59</v>
      </c>
      <c r="C45" s="107">
        <v>500</v>
      </c>
      <c r="D45" s="105" t="s">
        <v>5</v>
      </c>
      <c r="E45" s="108"/>
      <c r="F45" s="108"/>
    </row>
    <row r="46" spans="1:6" ht="24.95" customHeight="1" x14ac:dyDescent="0.25">
      <c r="A46" s="105">
        <v>45</v>
      </c>
      <c r="B46" s="106" t="s">
        <v>60</v>
      </c>
      <c r="C46" s="107">
        <v>500</v>
      </c>
      <c r="D46" s="105" t="s">
        <v>5</v>
      </c>
      <c r="E46" s="108"/>
      <c r="F46" s="108"/>
    </row>
    <row r="47" spans="1:6" ht="24.95" customHeight="1" x14ac:dyDescent="0.25">
      <c r="A47" s="105">
        <v>46</v>
      </c>
      <c r="B47" s="106" t="s">
        <v>61</v>
      </c>
      <c r="C47" s="107">
        <v>500</v>
      </c>
      <c r="D47" s="105" t="s">
        <v>5</v>
      </c>
      <c r="E47" s="108"/>
      <c r="F47" s="108"/>
    </row>
    <row r="48" spans="1:6" ht="24.95" customHeight="1" x14ac:dyDescent="0.25">
      <c r="A48" s="105">
        <v>47</v>
      </c>
      <c r="B48" s="106" t="s">
        <v>62</v>
      </c>
      <c r="C48" s="107">
        <v>500</v>
      </c>
      <c r="D48" s="105" t="s">
        <v>5</v>
      </c>
      <c r="E48" s="108"/>
      <c r="F48" s="108"/>
    </row>
    <row r="49" spans="1:6" ht="24.95" customHeight="1" x14ac:dyDescent="0.25">
      <c r="A49" s="105">
        <v>48</v>
      </c>
      <c r="B49" s="106" t="s">
        <v>63</v>
      </c>
      <c r="C49" s="107">
        <v>200</v>
      </c>
      <c r="D49" s="105" t="s">
        <v>5</v>
      </c>
      <c r="E49" s="108"/>
      <c r="F49" s="108"/>
    </row>
    <row r="50" spans="1:6" ht="24.95" customHeight="1" x14ac:dyDescent="0.25">
      <c r="A50" s="105">
        <v>49</v>
      </c>
      <c r="B50" s="106" t="s">
        <v>64</v>
      </c>
      <c r="C50" s="107">
        <v>200</v>
      </c>
      <c r="D50" s="105" t="s">
        <v>5</v>
      </c>
      <c r="E50" s="108"/>
      <c r="F50" s="108"/>
    </row>
    <row r="51" spans="1:6" ht="24.95" customHeight="1" x14ac:dyDescent="0.25">
      <c r="A51" s="105">
        <v>50</v>
      </c>
      <c r="B51" s="106" t="s">
        <v>65</v>
      </c>
      <c r="C51" s="107">
        <v>200</v>
      </c>
      <c r="D51" s="105" t="s">
        <v>5</v>
      </c>
      <c r="E51" s="108"/>
      <c r="F51" s="108"/>
    </row>
    <row r="52" spans="1:6" ht="24.95" customHeight="1" x14ac:dyDescent="0.25">
      <c r="A52" s="105">
        <v>51</v>
      </c>
      <c r="B52" s="106" t="s">
        <v>66</v>
      </c>
      <c r="C52" s="107">
        <v>200</v>
      </c>
      <c r="D52" s="105" t="s">
        <v>5</v>
      </c>
      <c r="E52" s="108"/>
      <c r="F52" s="108"/>
    </row>
    <row r="53" spans="1:6" ht="24.95" customHeight="1" x14ac:dyDescent="0.25">
      <c r="A53" s="105">
        <v>52</v>
      </c>
      <c r="B53" s="106" t="s">
        <v>67</v>
      </c>
      <c r="C53" s="107">
        <v>200</v>
      </c>
      <c r="D53" s="105" t="s">
        <v>5</v>
      </c>
      <c r="E53" s="108"/>
      <c r="F53" s="108"/>
    </row>
    <row r="54" spans="1:6" ht="24.95" customHeight="1" x14ac:dyDescent="0.25">
      <c r="A54" s="105">
        <v>53</v>
      </c>
      <c r="B54" s="106" t="s">
        <v>68</v>
      </c>
      <c r="C54" s="107">
        <v>10</v>
      </c>
      <c r="D54" s="105" t="s">
        <v>6</v>
      </c>
      <c r="E54" s="108"/>
      <c r="F54" s="108"/>
    </row>
    <row r="55" spans="1:6" ht="24.95" customHeight="1" x14ac:dyDescent="0.25">
      <c r="A55" s="105">
        <v>54</v>
      </c>
      <c r="B55" s="106" t="s">
        <v>69</v>
      </c>
      <c r="C55" s="107">
        <v>10</v>
      </c>
      <c r="D55" s="105" t="s">
        <v>6</v>
      </c>
      <c r="E55" s="108"/>
      <c r="F55" s="108"/>
    </row>
    <row r="56" spans="1:6" ht="24.95" customHeight="1" x14ac:dyDescent="0.25">
      <c r="A56" s="105">
        <v>55</v>
      </c>
      <c r="B56" s="106" t="s">
        <v>70</v>
      </c>
      <c r="C56" s="107">
        <v>10</v>
      </c>
      <c r="D56" s="105" t="s">
        <v>6</v>
      </c>
      <c r="E56" s="108"/>
      <c r="F56" s="108"/>
    </row>
    <row r="57" spans="1:6" ht="24.95" customHeight="1" x14ac:dyDescent="0.25">
      <c r="A57" s="105">
        <v>56</v>
      </c>
      <c r="B57" s="106" t="s">
        <v>71</v>
      </c>
      <c r="C57" s="107">
        <v>40</v>
      </c>
      <c r="D57" s="105" t="s">
        <v>6</v>
      </c>
      <c r="E57" s="108"/>
      <c r="F57" s="108"/>
    </row>
    <row r="58" spans="1:6" ht="24.95" customHeight="1" x14ac:dyDescent="0.25">
      <c r="A58" s="105">
        <v>57</v>
      </c>
      <c r="B58" s="109" t="s">
        <v>72</v>
      </c>
      <c r="C58" s="107">
        <v>5</v>
      </c>
      <c r="D58" s="105" t="s">
        <v>6</v>
      </c>
      <c r="E58" s="108"/>
      <c r="F58" s="108"/>
    </row>
    <row r="59" spans="1:6" ht="24.95" customHeight="1" x14ac:dyDescent="0.25">
      <c r="A59" s="105">
        <v>58</v>
      </c>
      <c r="B59" s="106" t="s">
        <v>73</v>
      </c>
      <c r="C59" s="107">
        <v>3</v>
      </c>
      <c r="D59" s="105" t="s">
        <v>6</v>
      </c>
      <c r="E59" s="108"/>
      <c r="F59" s="108"/>
    </row>
    <row r="60" spans="1:6" ht="24.95" customHeight="1" x14ac:dyDescent="0.25">
      <c r="A60" s="105">
        <v>59</v>
      </c>
      <c r="B60" s="109" t="s">
        <v>74</v>
      </c>
      <c r="C60" s="107">
        <v>31</v>
      </c>
      <c r="D60" s="105" t="s">
        <v>6</v>
      </c>
      <c r="E60" s="108"/>
      <c r="F60" s="108"/>
    </row>
    <row r="61" spans="1:6" ht="24.95" customHeight="1" x14ac:dyDescent="0.25">
      <c r="A61" s="105">
        <v>60</v>
      </c>
      <c r="B61" s="106" t="s">
        <v>75</v>
      </c>
      <c r="C61" s="107">
        <v>1</v>
      </c>
      <c r="D61" s="105" t="s">
        <v>7</v>
      </c>
      <c r="E61" s="108"/>
      <c r="F61" s="108"/>
    </row>
    <row r="62" spans="1:6" ht="24.95" customHeight="1" x14ac:dyDescent="0.25">
      <c r="A62" s="105">
        <v>61</v>
      </c>
      <c r="B62" s="106" t="s">
        <v>76</v>
      </c>
      <c r="C62" s="107">
        <v>1</v>
      </c>
      <c r="D62" s="105" t="s">
        <v>7</v>
      </c>
      <c r="E62" s="108"/>
      <c r="F62" s="108"/>
    </row>
    <row r="65" spans="5:6" ht="17.25" x14ac:dyDescent="0.4">
      <c r="E65" s="112" t="s">
        <v>178</v>
      </c>
      <c r="F65" s="113">
        <f>SUM(F2:F62)</f>
        <v>0</v>
      </c>
    </row>
  </sheetData>
  <pageMargins left="0.45" right="0.45" top="1" bottom="0.5" header="0.3" footer="0.3"/>
  <pageSetup orientation="portrait" verticalDpi="0" r:id="rId1"/>
  <headerFooter>
    <oddHeader>&amp;C&amp;"-,Bold"&amp;14City of New Albany
2021 Annual Paving Project Bid Tab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CDABC-911E-40E5-9611-316C48FBC564}">
  <dimension ref="A1:EO56"/>
  <sheetViews>
    <sheetView view="pageBreakPreview" zoomScale="60" zoomScaleNormal="60" workbookViewId="0">
      <pane xSplit="8" ySplit="6" topLeftCell="I7" activePane="bottomRight" state="frozen"/>
      <selection pane="topRight" activeCell="M1" sqref="M1"/>
      <selection pane="bottomLeft" activeCell="A7" sqref="A7"/>
      <selection pane="bottomRight" activeCell="L17" sqref="L17"/>
    </sheetView>
  </sheetViews>
  <sheetFormatPr defaultRowHeight="15" x14ac:dyDescent="0.25"/>
  <cols>
    <col min="1" max="1" width="13.85546875" style="60" customWidth="1"/>
    <col min="2" max="2" width="40" customWidth="1"/>
    <col min="3" max="3" width="27.7109375" customWidth="1"/>
    <col min="4" max="4" width="28" customWidth="1"/>
    <col min="5" max="5" width="29.7109375" style="60" customWidth="1"/>
    <col min="6" max="6" width="16.85546875" customWidth="1"/>
    <col min="7" max="7" width="15.140625" customWidth="1"/>
    <col min="8" max="8" width="13.28515625" style="60" customWidth="1"/>
    <col min="9" max="42" width="15.7109375" style="60" customWidth="1"/>
    <col min="43" max="67" width="15.7109375" customWidth="1"/>
    <col min="68" max="68" width="15.5703125" customWidth="1"/>
    <col min="69" max="69" width="19.42578125" customWidth="1"/>
    <col min="70" max="70" width="22.28515625" hidden="1" customWidth="1"/>
    <col min="71" max="71" width="23.7109375" hidden="1" customWidth="1"/>
    <col min="72" max="72" width="12" customWidth="1"/>
    <col min="73" max="73" width="9.140625" customWidth="1"/>
  </cols>
  <sheetData>
    <row r="1" spans="1:145" ht="28.5" customHeight="1" thickBot="1" x14ac:dyDescent="0.3">
      <c r="A1" s="1"/>
      <c r="B1" s="2"/>
      <c r="C1" s="2"/>
      <c r="D1" s="2"/>
      <c r="E1" s="3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5"/>
      <c r="R1" s="4"/>
      <c r="S1" s="4"/>
      <c r="T1" s="4"/>
      <c r="U1" s="4"/>
      <c r="V1" s="5"/>
      <c r="W1" s="4"/>
      <c r="X1" s="4"/>
      <c r="Y1" s="5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</row>
    <row r="2" spans="1:145" ht="30" customHeight="1" thickBot="1" x14ac:dyDescent="0.3">
      <c r="A2" s="6"/>
      <c r="B2" s="7"/>
      <c r="C2" s="7"/>
      <c r="D2" s="7"/>
      <c r="E2" s="7"/>
      <c r="F2" s="7"/>
      <c r="G2" s="8"/>
      <c r="H2" s="9"/>
      <c r="I2" s="10"/>
      <c r="J2" s="10"/>
      <c r="K2" s="10"/>
      <c r="L2" s="10"/>
      <c r="M2" s="10"/>
      <c r="N2" s="11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2"/>
      <c r="BR2" s="9"/>
      <c r="BS2" s="13"/>
    </row>
    <row r="3" spans="1:145" s="20" customFormat="1" ht="26.25" customHeight="1" thickBot="1" x14ac:dyDescent="0.3">
      <c r="A3" s="14"/>
      <c r="B3" s="15"/>
      <c r="C3" s="15"/>
      <c r="D3" s="15"/>
      <c r="E3" s="15"/>
      <c r="F3" s="15"/>
      <c r="G3" s="15"/>
      <c r="H3" s="15"/>
      <c r="I3" s="16">
        <v>1</v>
      </c>
      <c r="J3" s="16">
        <v>2</v>
      </c>
      <c r="K3" s="16">
        <v>3</v>
      </c>
      <c r="L3" s="16">
        <v>4</v>
      </c>
      <c r="M3" s="16">
        <v>5</v>
      </c>
      <c r="N3" s="16">
        <v>6</v>
      </c>
      <c r="O3" s="16">
        <v>7</v>
      </c>
      <c r="P3" s="16">
        <v>8</v>
      </c>
      <c r="Q3" s="16">
        <v>9</v>
      </c>
      <c r="R3" s="16">
        <v>10</v>
      </c>
      <c r="S3" s="16">
        <v>11</v>
      </c>
      <c r="T3" s="16">
        <v>12</v>
      </c>
      <c r="U3" s="16">
        <v>13</v>
      </c>
      <c r="V3" s="16">
        <v>14</v>
      </c>
      <c r="W3" s="16">
        <v>15</v>
      </c>
      <c r="X3" s="16">
        <v>16</v>
      </c>
      <c r="Y3" s="16">
        <v>17</v>
      </c>
      <c r="Z3" s="16">
        <v>18</v>
      </c>
      <c r="AA3" s="16">
        <v>19</v>
      </c>
      <c r="AB3" s="16">
        <v>20</v>
      </c>
      <c r="AC3" s="16">
        <v>21</v>
      </c>
      <c r="AD3" s="16">
        <v>22</v>
      </c>
      <c r="AE3" s="16">
        <v>23</v>
      </c>
      <c r="AF3" s="16">
        <v>24</v>
      </c>
      <c r="AG3" s="16">
        <v>25</v>
      </c>
      <c r="AH3" s="16">
        <v>26</v>
      </c>
      <c r="AI3" s="16">
        <v>27</v>
      </c>
      <c r="AJ3" s="16">
        <v>28</v>
      </c>
      <c r="AK3" s="16">
        <v>29</v>
      </c>
      <c r="AL3" s="16">
        <v>30</v>
      </c>
      <c r="AM3" s="16">
        <v>31</v>
      </c>
      <c r="AN3" s="16">
        <v>32</v>
      </c>
      <c r="AO3" s="16">
        <v>33</v>
      </c>
      <c r="AP3" s="16">
        <v>34</v>
      </c>
      <c r="AQ3" s="16">
        <v>35</v>
      </c>
      <c r="AR3" s="16">
        <v>36</v>
      </c>
      <c r="AS3" s="16">
        <v>37</v>
      </c>
      <c r="AT3" s="16">
        <v>38</v>
      </c>
      <c r="AU3" s="16">
        <v>39</v>
      </c>
      <c r="AV3" s="16">
        <v>40</v>
      </c>
      <c r="AW3" s="16">
        <v>41</v>
      </c>
      <c r="AX3" s="16">
        <v>42</v>
      </c>
      <c r="AY3" s="16">
        <v>43</v>
      </c>
      <c r="AZ3" s="16">
        <v>44</v>
      </c>
      <c r="BA3" s="16">
        <v>45</v>
      </c>
      <c r="BB3" s="16">
        <v>46</v>
      </c>
      <c r="BC3" s="16">
        <v>47</v>
      </c>
      <c r="BD3" s="16">
        <v>48</v>
      </c>
      <c r="BE3" s="16">
        <v>49</v>
      </c>
      <c r="BF3" s="16">
        <v>50</v>
      </c>
      <c r="BG3" s="16">
        <v>51</v>
      </c>
      <c r="BH3" s="16">
        <v>52</v>
      </c>
      <c r="BI3" s="16">
        <v>53</v>
      </c>
      <c r="BJ3" s="16">
        <v>54</v>
      </c>
      <c r="BK3" s="16">
        <v>55</v>
      </c>
      <c r="BL3" s="16">
        <v>56</v>
      </c>
      <c r="BM3" s="16">
        <v>57</v>
      </c>
      <c r="BN3" s="16">
        <v>58</v>
      </c>
      <c r="BO3" s="16">
        <v>59</v>
      </c>
      <c r="BP3" s="16">
        <v>60</v>
      </c>
      <c r="BQ3" s="17">
        <v>61</v>
      </c>
      <c r="BR3" s="18"/>
      <c r="BS3" s="19"/>
    </row>
    <row r="4" spans="1:145" ht="21.75" customHeight="1" x14ac:dyDescent="0.3">
      <c r="A4" s="21"/>
      <c r="B4" s="22"/>
      <c r="C4" s="22"/>
      <c r="D4" s="22"/>
      <c r="E4" s="22"/>
      <c r="F4" s="22"/>
      <c r="G4" s="22"/>
      <c r="H4" s="23" t="s">
        <v>0</v>
      </c>
      <c r="I4" s="24">
        <v>1.5</v>
      </c>
      <c r="J4" s="25">
        <v>2.5</v>
      </c>
      <c r="K4" s="25">
        <v>2.5</v>
      </c>
      <c r="L4" s="25">
        <v>6</v>
      </c>
      <c r="M4" s="25">
        <v>50</v>
      </c>
      <c r="N4" s="25">
        <v>13</v>
      </c>
      <c r="O4" s="25">
        <v>28</v>
      </c>
      <c r="P4" s="25">
        <v>5</v>
      </c>
      <c r="Q4" s="25">
        <v>70</v>
      </c>
      <c r="R4" s="25">
        <v>73</v>
      </c>
      <c r="S4" s="25">
        <v>65</v>
      </c>
      <c r="T4" s="25">
        <v>80</v>
      </c>
      <c r="U4" s="25">
        <v>80</v>
      </c>
      <c r="V4" s="25">
        <v>90</v>
      </c>
      <c r="W4" s="25">
        <v>24</v>
      </c>
      <c r="X4" s="25">
        <v>16</v>
      </c>
      <c r="Y4" s="25">
        <v>300</v>
      </c>
      <c r="Z4" s="25">
        <v>200</v>
      </c>
      <c r="AA4" s="25">
        <v>0.35</v>
      </c>
      <c r="AB4" s="25">
        <v>5000</v>
      </c>
      <c r="AC4" s="25">
        <v>120</v>
      </c>
      <c r="AD4" s="25">
        <v>2300</v>
      </c>
      <c r="AE4" s="25">
        <v>40</v>
      </c>
      <c r="AF4" s="25">
        <v>70</v>
      </c>
      <c r="AG4" s="25">
        <v>70</v>
      </c>
      <c r="AH4" s="25">
        <v>80</v>
      </c>
      <c r="AI4" s="25">
        <v>95</v>
      </c>
      <c r="AJ4" s="25">
        <v>150</v>
      </c>
      <c r="AK4" s="25">
        <v>60</v>
      </c>
      <c r="AL4" s="25">
        <v>70</v>
      </c>
      <c r="AM4" s="25">
        <v>600</v>
      </c>
      <c r="AN4" s="25">
        <v>1.2</v>
      </c>
      <c r="AO4" s="25">
        <v>1.2</v>
      </c>
      <c r="AP4" s="25">
        <v>1.2</v>
      </c>
      <c r="AQ4" s="25">
        <v>1.2</v>
      </c>
      <c r="AR4" s="25">
        <v>1.5</v>
      </c>
      <c r="AS4" s="25">
        <v>4</v>
      </c>
      <c r="AT4" s="25">
        <v>4.5</v>
      </c>
      <c r="AU4" s="25">
        <v>5</v>
      </c>
      <c r="AV4" s="25">
        <v>10</v>
      </c>
      <c r="AW4" s="25">
        <v>150</v>
      </c>
      <c r="AX4" s="25">
        <v>100</v>
      </c>
      <c r="AY4" s="25">
        <v>140</v>
      </c>
      <c r="AZ4" s="25">
        <v>1.5</v>
      </c>
      <c r="BA4" s="25">
        <v>1.5</v>
      </c>
      <c r="BB4" s="25">
        <v>1.5</v>
      </c>
      <c r="BC4" s="25">
        <v>1.5</v>
      </c>
      <c r="BD4" s="25">
        <v>1.5</v>
      </c>
      <c r="BE4" s="25">
        <v>4</v>
      </c>
      <c r="BF4" s="25">
        <v>4.5</v>
      </c>
      <c r="BG4" s="25">
        <v>5</v>
      </c>
      <c r="BH4" s="25">
        <v>6</v>
      </c>
      <c r="BI4" s="25">
        <v>75</v>
      </c>
      <c r="BJ4" s="25">
        <v>75</v>
      </c>
      <c r="BK4" s="25">
        <v>65</v>
      </c>
      <c r="BL4" s="25">
        <v>300</v>
      </c>
      <c r="BM4" s="25">
        <v>900</v>
      </c>
      <c r="BN4" s="25">
        <v>1100</v>
      </c>
      <c r="BO4" s="25">
        <v>150</v>
      </c>
      <c r="BP4" s="25">
        <v>1</v>
      </c>
      <c r="BQ4" s="26">
        <v>5000</v>
      </c>
      <c r="BR4" s="27"/>
      <c r="BS4" s="28"/>
    </row>
    <row r="5" spans="1:145" s="39" customFormat="1" ht="25.5" customHeight="1" thickBot="1" x14ac:dyDescent="0.4">
      <c r="A5" s="29"/>
      <c r="B5" s="30"/>
      <c r="C5" s="30"/>
      <c r="D5" s="30"/>
      <c r="E5" s="31"/>
      <c r="F5" s="30"/>
      <c r="G5" s="30"/>
      <c r="H5" s="32" t="s">
        <v>1</v>
      </c>
      <c r="I5" s="33" t="s">
        <v>2</v>
      </c>
      <c r="J5" s="34" t="s">
        <v>2</v>
      </c>
      <c r="K5" s="34" t="s">
        <v>2</v>
      </c>
      <c r="L5" s="34" t="s">
        <v>2</v>
      </c>
      <c r="M5" s="34" t="s">
        <v>3</v>
      </c>
      <c r="N5" s="35" t="s">
        <v>2</v>
      </c>
      <c r="O5" s="34" t="s">
        <v>2</v>
      </c>
      <c r="P5" s="34" t="s">
        <v>2</v>
      </c>
      <c r="Q5" s="34" t="s">
        <v>4</v>
      </c>
      <c r="R5" s="34" t="s">
        <v>4</v>
      </c>
      <c r="S5" s="34" t="s">
        <v>4</v>
      </c>
      <c r="T5" s="34" t="s">
        <v>4</v>
      </c>
      <c r="U5" s="34" t="s">
        <v>4</v>
      </c>
      <c r="V5" s="34" t="s">
        <v>4</v>
      </c>
      <c r="W5" s="34" t="s">
        <v>2</v>
      </c>
      <c r="X5" s="34" t="s">
        <v>2</v>
      </c>
      <c r="Y5" s="34" t="s">
        <v>4</v>
      </c>
      <c r="Z5" s="34" t="s">
        <v>2</v>
      </c>
      <c r="AA5" s="34" t="s">
        <v>5</v>
      </c>
      <c r="AB5" s="34" t="s">
        <v>4</v>
      </c>
      <c r="AC5" s="34" t="s">
        <v>5</v>
      </c>
      <c r="AD5" s="34" t="s">
        <v>6</v>
      </c>
      <c r="AE5" s="34" t="s">
        <v>5</v>
      </c>
      <c r="AF5" s="34" t="s">
        <v>5</v>
      </c>
      <c r="AG5" s="34" t="s">
        <v>5</v>
      </c>
      <c r="AH5" s="34" t="s">
        <v>2</v>
      </c>
      <c r="AI5" s="34" t="s">
        <v>2</v>
      </c>
      <c r="AJ5" s="34" t="s">
        <v>2</v>
      </c>
      <c r="AK5" s="34" t="s">
        <v>2</v>
      </c>
      <c r="AL5" s="34" t="s">
        <v>2</v>
      </c>
      <c r="AM5" s="34" t="s">
        <v>6</v>
      </c>
      <c r="AN5" s="34" t="s">
        <v>5</v>
      </c>
      <c r="AO5" s="34" t="s">
        <v>5</v>
      </c>
      <c r="AP5" s="34" t="s">
        <v>5</v>
      </c>
      <c r="AQ5" s="34" t="s">
        <v>5</v>
      </c>
      <c r="AR5" s="34" t="s">
        <v>5</v>
      </c>
      <c r="AS5" s="34" t="s">
        <v>5</v>
      </c>
      <c r="AT5" s="34" t="s">
        <v>5</v>
      </c>
      <c r="AU5" s="34" t="s">
        <v>5</v>
      </c>
      <c r="AV5" s="34" t="s">
        <v>5</v>
      </c>
      <c r="AW5" s="34" t="s">
        <v>6</v>
      </c>
      <c r="AX5" s="34" t="s">
        <v>6</v>
      </c>
      <c r="AY5" s="34" t="s">
        <v>6</v>
      </c>
      <c r="AZ5" s="34" t="s">
        <v>5</v>
      </c>
      <c r="BA5" s="34" t="s">
        <v>5</v>
      </c>
      <c r="BB5" s="34" t="s">
        <v>5</v>
      </c>
      <c r="BC5" s="34" t="s">
        <v>5</v>
      </c>
      <c r="BD5" s="34" t="s">
        <v>5</v>
      </c>
      <c r="BE5" s="34" t="s">
        <v>5</v>
      </c>
      <c r="BF5" s="34" t="s">
        <v>5</v>
      </c>
      <c r="BG5" s="34" t="s">
        <v>5</v>
      </c>
      <c r="BH5" s="34" t="s">
        <v>5</v>
      </c>
      <c r="BI5" s="34" t="s">
        <v>6</v>
      </c>
      <c r="BJ5" s="34" t="s">
        <v>6</v>
      </c>
      <c r="BK5" s="34" t="s">
        <v>6</v>
      </c>
      <c r="BL5" s="34" t="s">
        <v>6</v>
      </c>
      <c r="BM5" s="34" t="s">
        <v>6</v>
      </c>
      <c r="BN5" s="34" t="s">
        <v>6</v>
      </c>
      <c r="BO5" s="34" t="s">
        <v>6</v>
      </c>
      <c r="BP5" s="34" t="s">
        <v>7</v>
      </c>
      <c r="BQ5" s="36" t="s">
        <v>7</v>
      </c>
      <c r="BR5" s="37"/>
      <c r="BS5" s="38"/>
    </row>
    <row r="6" spans="1:145" s="39" customFormat="1" ht="99.75" customHeight="1" x14ac:dyDescent="0.3">
      <c r="A6" s="40" t="s">
        <v>8</v>
      </c>
      <c r="B6" s="41" t="s">
        <v>9</v>
      </c>
      <c r="C6" s="41" t="s">
        <v>10</v>
      </c>
      <c r="D6" s="41" t="s">
        <v>11</v>
      </c>
      <c r="E6" s="41" t="s">
        <v>12</v>
      </c>
      <c r="F6" s="41" t="s">
        <v>13</v>
      </c>
      <c r="G6" s="42" t="s">
        <v>14</v>
      </c>
      <c r="H6" s="42" t="s">
        <v>15</v>
      </c>
      <c r="I6" s="43" t="s">
        <v>16</v>
      </c>
      <c r="J6" s="44" t="s">
        <v>17</v>
      </c>
      <c r="K6" s="44" t="s">
        <v>18</v>
      </c>
      <c r="L6" s="44" t="s">
        <v>19</v>
      </c>
      <c r="M6" s="44" t="s">
        <v>20</v>
      </c>
      <c r="N6" s="45" t="s">
        <v>21</v>
      </c>
      <c r="O6" s="44" t="s">
        <v>22</v>
      </c>
      <c r="P6" s="44" t="s">
        <v>23</v>
      </c>
      <c r="Q6" s="44" t="s">
        <v>24</v>
      </c>
      <c r="R6" s="44" t="s">
        <v>25</v>
      </c>
      <c r="S6" s="44" t="s">
        <v>26</v>
      </c>
      <c r="T6" s="44" t="s">
        <v>27</v>
      </c>
      <c r="U6" s="44" t="s">
        <v>28</v>
      </c>
      <c r="V6" s="44" t="s">
        <v>29</v>
      </c>
      <c r="W6" s="44" t="s">
        <v>30</v>
      </c>
      <c r="X6" s="44" t="s">
        <v>31</v>
      </c>
      <c r="Y6" s="44" t="s">
        <v>32</v>
      </c>
      <c r="Z6" s="44" t="s">
        <v>33</v>
      </c>
      <c r="AA6" s="44" t="s">
        <v>34</v>
      </c>
      <c r="AB6" s="44" t="s">
        <v>35</v>
      </c>
      <c r="AC6" s="44" t="s">
        <v>36</v>
      </c>
      <c r="AD6" s="44" t="s">
        <v>37</v>
      </c>
      <c r="AE6" s="44" t="s">
        <v>38</v>
      </c>
      <c r="AF6" s="44" t="s">
        <v>39</v>
      </c>
      <c r="AG6" s="44" t="s">
        <v>40</v>
      </c>
      <c r="AH6" s="44" t="s">
        <v>41</v>
      </c>
      <c r="AI6" s="44" t="s">
        <v>42</v>
      </c>
      <c r="AJ6" s="44" t="s">
        <v>43</v>
      </c>
      <c r="AK6" s="44" t="s">
        <v>44</v>
      </c>
      <c r="AL6" s="44" t="s">
        <v>45</v>
      </c>
      <c r="AM6" s="44" t="s">
        <v>46</v>
      </c>
      <c r="AN6" s="44" t="s">
        <v>47</v>
      </c>
      <c r="AO6" s="44" t="s">
        <v>48</v>
      </c>
      <c r="AP6" s="44" t="s">
        <v>49</v>
      </c>
      <c r="AQ6" s="44" t="s">
        <v>50</v>
      </c>
      <c r="AR6" s="44" t="s">
        <v>51</v>
      </c>
      <c r="AS6" s="44" t="s">
        <v>52</v>
      </c>
      <c r="AT6" s="46" t="s">
        <v>53</v>
      </c>
      <c r="AU6" s="44" t="s">
        <v>54</v>
      </c>
      <c r="AV6" s="44" t="s">
        <v>55</v>
      </c>
      <c r="AW6" s="47" t="s">
        <v>56</v>
      </c>
      <c r="AX6" s="47" t="s">
        <v>57</v>
      </c>
      <c r="AY6" s="47" t="s">
        <v>58</v>
      </c>
      <c r="AZ6" s="46" t="s">
        <v>59</v>
      </c>
      <c r="BA6" s="46" t="s">
        <v>60</v>
      </c>
      <c r="BB6" s="46" t="s">
        <v>61</v>
      </c>
      <c r="BC6" s="46" t="s">
        <v>62</v>
      </c>
      <c r="BD6" s="46" t="s">
        <v>63</v>
      </c>
      <c r="BE6" s="46" t="s">
        <v>64</v>
      </c>
      <c r="BF6" s="46" t="s">
        <v>65</v>
      </c>
      <c r="BG6" s="46" t="s">
        <v>66</v>
      </c>
      <c r="BH6" s="46" t="s">
        <v>67</v>
      </c>
      <c r="BI6" s="46" t="s">
        <v>68</v>
      </c>
      <c r="BJ6" s="46" t="s">
        <v>69</v>
      </c>
      <c r="BK6" s="46" t="s">
        <v>70</v>
      </c>
      <c r="BL6" s="46" t="s">
        <v>71</v>
      </c>
      <c r="BM6" s="46" t="s">
        <v>72</v>
      </c>
      <c r="BN6" s="46" t="s">
        <v>73</v>
      </c>
      <c r="BO6" s="46" t="s">
        <v>74</v>
      </c>
      <c r="BP6" s="46" t="s">
        <v>75</v>
      </c>
      <c r="BQ6" s="48" t="s">
        <v>76</v>
      </c>
      <c r="BR6" s="49" t="s">
        <v>77</v>
      </c>
      <c r="BS6" s="42" t="s">
        <v>78</v>
      </c>
    </row>
    <row r="7" spans="1:145" x14ac:dyDescent="0.25">
      <c r="A7" s="50">
        <v>1</v>
      </c>
      <c r="B7" s="51" t="s">
        <v>79</v>
      </c>
      <c r="C7" s="51" t="s">
        <v>80</v>
      </c>
      <c r="D7" s="51" t="s">
        <v>81</v>
      </c>
      <c r="E7" s="52" t="s">
        <v>82</v>
      </c>
      <c r="F7" s="53" t="s">
        <v>83</v>
      </c>
      <c r="G7" s="54">
        <f>7350/2</f>
        <v>3675</v>
      </c>
      <c r="H7" s="54">
        <v>108663</v>
      </c>
      <c r="I7" s="54">
        <f>ROUND(H7/9,0)</f>
        <v>12074</v>
      </c>
      <c r="J7" s="54"/>
      <c r="K7" s="54"/>
      <c r="L7" s="54"/>
      <c r="M7" s="54"/>
      <c r="N7" s="54"/>
      <c r="O7" s="54">
        <f>ROUND(H7/9*0.03,0)</f>
        <v>362</v>
      </c>
      <c r="P7" s="54">
        <f>ROUND(H7/9*0.03,0)</f>
        <v>362</v>
      </c>
      <c r="Q7" s="54"/>
      <c r="R7" s="53"/>
      <c r="S7" s="53"/>
      <c r="T7" s="54">
        <f>ROUND((((H7/9)*165)/2000)*1.25,0)</f>
        <v>1245</v>
      </c>
      <c r="U7" s="54"/>
      <c r="V7" s="54">
        <f>ROUND((((H7/9*165)/2000)*1.25)*0.12,0)</f>
        <v>149</v>
      </c>
      <c r="W7" s="52">
        <f>ROUND(H7/9*0.03,0)</f>
        <v>362</v>
      </c>
      <c r="X7" s="54"/>
      <c r="Y7" s="54">
        <f>ROUND((Q7+T7+V7)*0.08,0)</f>
        <v>112</v>
      </c>
      <c r="Z7" s="53"/>
      <c r="AA7" s="52">
        <f>ROUND(G7*1.1,0)</f>
        <v>4043</v>
      </c>
      <c r="AB7" s="55"/>
      <c r="AC7" s="55"/>
      <c r="AD7" s="55"/>
      <c r="AE7" s="53"/>
      <c r="AF7" s="52"/>
      <c r="AG7" s="52">
        <v>20</v>
      </c>
      <c r="AH7" s="52"/>
      <c r="AI7" s="52"/>
      <c r="AJ7" s="52">
        <f>2*7</f>
        <v>14</v>
      </c>
      <c r="AK7" s="52"/>
      <c r="AL7" s="52">
        <v>20</v>
      </c>
      <c r="AM7" s="52">
        <v>36</v>
      </c>
      <c r="AN7" s="52">
        <v>4040</v>
      </c>
      <c r="AO7" s="52">
        <v>5560</v>
      </c>
      <c r="AP7" s="52">
        <v>625</v>
      </c>
      <c r="AQ7" s="52">
        <v>300</v>
      </c>
      <c r="AR7" s="52"/>
      <c r="AS7" s="52">
        <v>400</v>
      </c>
      <c r="AT7" s="52"/>
      <c r="AU7" s="52"/>
      <c r="AV7" s="52">
        <v>84</v>
      </c>
      <c r="AW7" s="52">
        <v>4</v>
      </c>
      <c r="AX7" s="52">
        <v>36</v>
      </c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6">
        <f t="shared" ref="BP7:BP54" si="0">ROUND(SUMPRODUCT(G7:BO7,G$4:BO$4)*0.05,2)</f>
        <v>11627</v>
      </c>
      <c r="BQ7" s="57"/>
      <c r="BR7" s="58">
        <f t="shared" ref="BR7:BR54" si="1">SUMPRODUCT(I7:BQ7,I$4:BQ$4)</f>
        <v>244167.05</v>
      </c>
      <c r="BS7" s="59">
        <f>SUBTOTAL(9,$BR$7:BR7)</f>
        <v>244167.05</v>
      </c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</row>
    <row r="8" spans="1:145" s="70" customFormat="1" hidden="1" x14ac:dyDescent="0.25">
      <c r="A8" s="50">
        <v>2</v>
      </c>
      <c r="B8" s="61" t="s">
        <v>84</v>
      </c>
      <c r="C8" s="61"/>
      <c r="D8" s="61"/>
      <c r="E8" s="62"/>
      <c r="F8" s="63" t="s">
        <v>83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3"/>
      <c r="S8" s="63"/>
      <c r="T8" s="64"/>
      <c r="U8" s="64"/>
      <c r="V8" s="64"/>
      <c r="W8" s="62"/>
      <c r="X8" s="64"/>
      <c r="Y8" s="64"/>
      <c r="Z8" s="63"/>
      <c r="AA8" s="62"/>
      <c r="AB8" s="65">
        <v>20</v>
      </c>
      <c r="AC8" s="65"/>
      <c r="AD8" s="65"/>
      <c r="AE8" s="63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56">
        <f t="shared" si="0"/>
        <v>5000</v>
      </c>
      <c r="BQ8" s="66"/>
      <c r="BR8" s="67">
        <f t="shared" si="1"/>
        <v>105000</v>
      </c>
      <c r="BS8" s="68">
        <f>SUBTOTAL(9,$BR$7:BR8)</f>
        <v>349167.05</v>
      </c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</row>
    <row r="9" spans="1:145" s="72" customFormat="1" x14ac:dyDescent="0.25">
      <c r="A9" s="50">
        <v>2</v>
      </c>
      <c r="B9" s="51" t="s">
        <v>85</v>
      </c>
      <c r="C9" s="51" t="s">
        <v>86</v>
      </c>
      <c r="D9" s="51" t="s">
        <v>87</v>
      </c>
      <c r="E9" s="52" t="s">
        <v>82</v>
      </c>
      <c r="F9" s="53" t="s">
        <v>83</v>
      </c>
      <c r="G9" s="54"/>
      <c r="H9" s="54">
        <v>516514</v>
      </c>
      <c r="I9" s="54"/>
      <c r="J9" s="54"/>
      <c r="K9" s="54"/>
      <c r="L9" s="54"/>
      <c r="M9" s="54"/>
      <c r="N9" s="54"/>
      <c r="O9" s="54">
        <v>204</v>
      </c>
      <c r="P9" s="54">
        <v>204</v>
      </c>
      <c r="Q9" s="54"/>
      <c r="R9" s="53"/>
      <c r="S9" s="53"/>
      <c r="T9" s="54">
        <f>ROUND(204*165/2000,0)</f>
        <v>17</v>
      </c>
      <c r="U9" s="54"/>
      <c r="V9" s="54"/>
      <c r="W9" s="52">
        <f>ROUND(1700/9+132/9,0)</f>
        <v>204</v>
      </c>
      <c r="X9" s="54"/>
      <c r="Y9" s="54"/>
      <c r="Z9" s="53"/>
      <c r="AA9" s="52">
        <v>350</v>
      </c>
      <c r="AB9" s="55">
        <v>2.2999999999999998</v>
      </c>
      <c r="AC9" s="55"/>
      <c r="AD9" s="55"/>
      <c r="AE9" s="53"/>
      <c r="AF9" s="52"/>
      <c r="AG9" s="52"/>
      <c r="AH9" s="52"/>
      <c r="AI9" s="52"/>
      <c r="AJ9" s="52"/>
      <c r="AK9" s="52"/>
      <c r="AL9" s="52"/>
      <c r="AM9" s="52">
        <v>4</v>
      </c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6">
        <f t="shared" si="0"/>
        <v>1350.53</v>
      </c>
      <c r="BQ9" s="57"/>
      <c r="BR9" s="58">
        <f t="shared" si="1"/>
        <v>28361.03</v>
      </c>
      <c r="BS9" s="59">
        <f>SUBTOTAL(9,$BR$7:BR9)</f>
        <v>377528.07999999996</v>
      </c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</row>
    <row r="10" spans="1:145" s="72" customFormat="1" x14ac:dyDescent="0.25">
      <c r="A10" s="50">
        <v>3</v>
      </c>
      <c r="B10" s="51" t="s">
        <v>88</v>
      </c>
      <c r="C10" s="51" t="s">
        <v>86</v>
      </c>
      <c r="D10" s="51" t="s">
        <v>89</v>
      </c>
      <c r="E10" s="52" t="s">
        <v>82</v>
      </c>
      <c r="F10" s="53" t="s">
        <v>83</v>
      </c>
      <c r="G10" s="54"/>
      <c r="H10" s="54">
        <v>349795</v>
      </c>
      <c r="I10" s="54"/>
      <c r="J10" s="54"/>
      <c r="K10" s="54"/>
      <c r="L10" s="54"/>
      <c r="M10" s="54"/>
      <c r="N10" s="54"/>
      <c r="O10" s="54">
        <v>28</v>
      </c>
      <c r="P10" s="54">
        <v>28</v>
      </c>
      <c r="Q10" s="54"/>
      <c r="R10" s="53"/>
      <c r="S10" s="53"/>
      <c r="T10" s="54">
        <f>ROUND(28*165/2000,0)</f>
        <v>2</v>
      </c>
      <c r="U10" s="54"/>
      <c r="V10" s="54"/>
      <c r="W10" s="52">
        <f>ROUND(250/9,0)</f>
        <v>28</v>
      </c>
      <c r="X10" s="54"/>
      <c r="Y10" s="54"/>
      <c r="Z10" s="53"/>
      <c r="AA10" s="52">
        <v>70</v>
      </c>
      <c r="AB10" s="55">
        <v>1.56</v>
      </c>
      <c r="AC10" s="55"/>
      <c r="AD10" s="55"/>
      <c r="AE10" s="53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6">
        <f t="shared" si="0"/>
        <v>479.03</v>
      </c>
      <c r="BQ10" s="57"/>
      <c r="BR10" s="58">
        <f t="shared" si="1"/>
        <v>10059.530000000001</v>
      </c>
      <c r="BS10" s="59">
        <f>SUBTOTAL(9,$BR$7:BR10)</f>
        <v>387587.61</v>
      </c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</row>
    <row r="11" spans="1:145" s="72" customFormat="1" x14ac:dyDescent="0.25">
      <c r="A11" s="50">
        <v>4</v>
      </c>
      <c r="B11" s="51" t="s">
        <v>90</v>
      </c>
      <c r="C11" s="51" t="s">
        <v>91</v>
      </c>
      <c r="D11" s="51" t="s">
        <v>92</v>
      </c>
      <c r="E11" s="52" t="s">
        <v>82</v>
      </c>
      <c r="F11" s="53" t="s">
        <v>83</v>
      </c>
      <c r="G11" s="54"/>
      <c r="H11" s="54">
        <v>306402</v>
      </c>
      <c r="I11" s="54"/>
      <c r="J11" s="54"/>
      <c r="K11" s="54"/>
      <c r="L11" s="54"/>
      <c r="M11" s="54"/>
      <c r="N11" s="54"/>
      <c r="O11" s="54">
        <v>111</v>
      </c>
      <c r="P11" s="54">
        <v>111</v>
      </c>
      <c r="Q11" s="54"/>
      <c r="R11" s="53"/>
      <c r="S11" s="53"/>
      <c r="T11" s="54">
        <f>ROUND(111*165/2000,0)</f>
        <v>9</v>
      </c>
      <c r="U11" s="54"/>
      <c r="V11" s="54"/>
      <c r="W11" s="52">
        <f>ROUND((130+625+240)/9,0)</f>
        <v>111</v>
      </c>
      <c r="X11" s="54"/>
      <c r="Y11" s="54"/>
      <c r="Z11" s="53"/>
      <c r="AA11" s="52">
        <v>210</v>
      </c>
      <c r="AB11" s="55">
        <v>1.36</v>
      </c>
      <c r="AC11" s="55"/>
      <c r="AD11" s="55"/>
      <c r="AE11" s="53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6">
        <f t="shared" si="0"/>
        <v>696.03</v>
      </c>
      <c r="BQ11" s="57"/>
      <c r="BR11" s="58">
        <f t="shared" si="1"/>
        <v>14616.53</v>
      </c>
      <c r="BS11" s="59">
        <f>SUBTOTAL(9,$BR$7:BR11)</f>
        <v>402204.14</v>
      </c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</row>
    <row r="12" spans="1:145" s="72" customFormat="1" x14ac:dyDescent="0.25">
      <c r="A12" s="50">
        <v>5</v>
      </c>
      <c r="B12" s="51" t="s">
        <v>93</v>
      </c>
      <c r="C12" s="51" t="s">
        <v>94</v>
      </c>
      <c r="D12" s="51" t="s">
        <v>95</v>
      </c>
      <c r="E12" s="52" t="s">
        <v>96</v>
      </c>
      <c r="F12" s="53" t="s">
        <v>83</v>
      </c>
      <c r="G12" s="54"/>
      <c r="H12" s="54">
        <v>151639</v>
      </c>
      <c r="I12" s="54"/>
      <c r="J12" s="54"/>
      <c r="K12" s="54"/>
      <c r="L12" s="54"/>
      <c r="M12" s="54"/>
      <c r="N12" s="54"/>
      <c r="O12" s="54"/>
      <c r="P12" s="54"/>
      <c r="Q12" s="54"/>
      <c r="R12" s="53"/>
      <c r="S12" s="53"/>
      <c r="T12" s="54"/>
      <c r="U12" s="54"/>
      <c r="V12" s="54"/>
      <c r="W12" s="52"/>
      <c r="X12" s="54"/>
      <c r="Y12" s="54"/>
      <c r="Z12" s="53"/>
      <c r="AA12" s="52"/>
      <c r="AB12" s="55">
        <v>0.68</v>
      </c>
      <c r="AC12" s="55"/>
      <c r="AD12" s="55"/>
      <c r="AE12" s="53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6">
        <f t="shared" si="0"/>
        <v>170</v>
      </c>
      <c r="BQ12" s="57"/>
      <c r="BR12" s="58">
        <f t="shared" si="1"/>
        <v>3570.0000000000005</v>
      </c>
      <c r="BS12" s="59">
        <f>SUBTOTAL(9,$BR$7:BR12)</f>
        <v>405774.14</v>
      </c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</row>
    <row r="13" spans="1:145" s="72" customFormat="1" x14ac:dyDescent="0.25">
      <c r="A13" s="50">
        <v>6</v>
      </c>
      <c r="B13" s="51" t="s">
        <v>97</v>
      </c>
      <c r="C13" s="51" t="s">
        <v>86</v>
      </c>
      <c r="D13" s="51" t="s">
        <v>98</v>
      </c>
      <c r="E13" s="52" t="s">
        <v>82</v>
      </c>
      <c r="F13" s="53" t="s">
        <v>83</v>
      </c>
      <c r="G13" s="54"/>
      <c r="H13" s="54">
        <v>295873</v>
      </c>
      <c r="I13" s="54"/>
      <c r="J13" s="54"/>
      <c r="K13" s="54"/>
      <c r="L13" s="54"/>
      <c r="M13" s="54"/>
      <c r="N13" s="54"/>
      <c r="O13" s="54"/>
      <c r="P13" s="54"/>
      <c r="Q13" s="54"/>
      <c r="R13" s="53"/>
      <c r="S13" s="53"/>
      <c r="T13" s="54"/>
      <c r="U13" s="54"/>
      <c r="V13" s="54"/>
      <c r="W13" s="52"/>
      <c r="X13" s="54"/>
      <c r="Y13" s="54"/>
      <c r="Z13" s="53"/>
      <c r="AA13" s="52"/>
      <c r="AB13" s="55">
        <v>1.32</v>
      </c>
      <c r="AC13" s="55"/>
      <c r="AD13" s="55"/>
      <c r="AE13" s="53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6">
        <f t="shared" si="0"/>
        <v>330</v>
      </c>
      <c r="BQ13" s="57"/>
      <c r="BR13" s="58">
        <f t="shared" si="1"/>
        <v>6930</v>
      </c>
      <c r="BS13" s="59">
        <f>SUBTOTAL(9,$BR$7:BR13)</f>
        <v>412704.14</v>
      </c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</row>
    <row r="14" spans="1:145" s="72" customFormat="1" x14ac:dyDescent="0.25">
      <c r="A14" s="50">
        <v>7</v>
      </c>
      <c r="B14" s="51" t="s">
        <v>80</v>
      </c>
      <c r="C14" s="51" t="s">
        <v>94</v>
      </c>
      <c r="D14" s="51" t="s">
        <v>99</v>
      </c>
      <c r="E14" s="52" t="s">
        <v>82</v>
      </c>
      <c r="F14" s="53" t="s">
        <v>83</v>
      </c>
      <c r="G14" s="54"/>
      <c r="H14" s="54">
        <v>213421</v>
      </c>
      <c r="I14" s="54"/>
      <c r="J14" s="54"/>
      <c r="K14" s="54"/>
      <c r="L14" s="54"/>
      <c r="M14" s="54"/>
      <c r="N14" s="54"/>
      <c r="O14" s="54"/>
      <c r="P14" s="54"/>
      <c r="Q14" s="54"/>
      <c r="R14" s="53"/>
      <c r="S14" s="53"/>
      <c r="T14" s="54"/>
      <c r="U14" s="54"/>
      <c r="V14" s="54"/>
      <c r="W14" s="52"/>
      <c r="X14" s="54"/>
      <c r="Y14" s="54"/>
      <c r="Z14" s="53"/>
      <c r="AA14" s="52"/>
      <c r="AB14" s="55">
        <v>0.95</v>
      </c>
      <c r="AC14" s="55"/>
      <c r="AD14" s="55"/>
      <c r="AE14" s="53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6">
        <f t="shared" si="0"/>
        <v>237.5</v>
      </c>
      <c r="BQ14" s="57"/>
      <c r="BR14" s="58">
        <f t="shared" si="1"/>
        <v>4987.5</v>
      </c>
      <c r="BS14" s="59">
        <f>SUBTOTAL(9,$BR$7:BR14)</f>
        <v>417691.64</v>
      </c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</row>
    <row r="15" spans="1:145" s="72" customFormat="1" x14ac:dyDescent="0.25">
      <c r="A15" s="50">
        <v>8</v>
      </c>
      <c r="B15" s="51" t="s">
        <v>100</v>
      </c>
      <c r="C15" s="51" t="s">
        <v>94</v>
      </c>
      <c r="D15" s="51" t="s">
        <v>101</v>
      </c>
      <c r="E15" s="52" t="s">
        <v>96</v>
      </c>
      <c r="F15" s="53" t="s">
        <v>83</v>
      </c>
      <c r="G15" s="54"/>
      <c r="H15" s="54">
        <v>55252</v>
      </c>
      <c r="I15" s="54"/>
      <c r="J15" s="54"/>
      <c r="K15" s="54"/>
      <c r="L15" s="54"/>
      <c r="M15" s="54"/>
      <c r="N15" s="54"/>
      <c r="O15" s="54"/>
      <c r="P15" s="54"/>
      <c r="Q15" s="54"/>
      <c r="R15" s="53"/>
      <c r="S15" s="53"/>
      <c r="T15" s="54"/>
      <c r="U15" s="54"/>
      <c r="V15" s="54"/>
      <c r="W15" s="52"/>
      <c r="X15" s="54"/>
      <c r="Y15" s="54"/>
      <c r="Z15" s="53"/>
      <c r="AA15" s="52"/>
      <c r="AB15" s="55">
        <v>0.25</v>
      </c>
      <c r="AC15" s="55"/>
      <c r="AD15" s="55"/>
      <c r="AE15" s="53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6">
        <f t="shared" si="0"/>
        <v>62.5</v>
      </c>
      <c r="BQ15" s="57"/>
      <c r="BR15" s="58">
        <f t="shared" si="1"/>
        <v>1312.5</v>
      </c>
      <c r="BS15" s="59">
        <f>SUBTOTAL(9,$BR$7:BR15)</f>
        <v>419004.14</v>
      </c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</row>
    <row r="16" spans="1:145" s="72" customFormat="1" x14ac:dyDescent="0.25">
      <c r="A16" s="50">
        <v>9</v>
      </c>
      <c r="B16" s="51" t="s">
        <v>102</v>
      </c>
      <c r="C16" s="51" t="s">
        <v>93</v>
      </c>
      <c r="D16" s="51" t="s">
        <v>103</v>
      </c>
      <c r="E16" s="52" t="s">
        <v>96</v>
      </c>
      <c r="F16" s="53" t="s">
        <v>83</v>
      </c>
      <c r="G16" s="54"/>
      <c r="H16" s="54">
        <v>143225</v>
      </c>
      <c r="I16" s="54"/>
      <c r="J16" s="54"/>
      <c r="K16" s="54"/>
      <c r="L16" s="54"/>
      <c r="M16" s="54"/>
      <c r="N16" s="54"/>
      <c r="O16" s="54"/>
      <c r="P16" s="54"/>
      <c r="Q16" s="54"/>
      <c r="R16" s="53"/>
      <c r="S16" s="53"/>
      <c r="T16" s="54"/>
      <c r="U16" s="54"/>
      <c r="V16" s="54"/>
      <c r="W16" s="52"/>
      <c r="X16" s="54"/>
      <c r="Y16" s="54"/>
      <c r="Z16" s="53"/>
      <c r="AA16" s="52"/>
      <c r="AB16" s="55">
        <v>0.64</v>
      </c>
      <c r="AC16" s="55"/>
      <c r="AD16" s="55"/>
      <c r="AE16" s="53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6">
        <f t="shared" si="0"/>
        <v>160</v>
      </c>
      <c r="BQ16" s="57"/>
      <c r="BR16" s="58">
        <f t="shared" si="1"/>
        <v>3360</v>
      </c>
      <c r="BS16" s="59">
        <f>SUBTOTAL(9,$BR$7:BR16)</f>
        <v>422364.14</v>
      </c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</row>
    <row r="17" spans="1:145" s="72" customFormat="1" x14ac:dyDescent="0.25">
      <c r="A17" s="50">
        <v>10</v>
      </c>
      <c r="B17" s="51" t="s">
        <v>89</v>
      </c>
      <c r="C17" s="51" t="s">
        <v>104</v>
      </c>
      <c r="D17" s="51" t="s">
        <v>99</v>
      </c>
      <c r="E17" s="52" t="s">
        <v>105</v>
      </c>
      <c r="F17" s="53" t="s">
        <v>83</v>
      </c>
      <c r="G17" s="54"/>
      <c r="H17" s="54">
        <v>140012</v>
      </c>
      <c r="I17" s="54"/>
      <c r="J17" s="54"/>
      <c r="K17" s="54"/>
      <c r="L17" s="54"/>
      <c r="M17" s="54"/>
      <c r="N17" s="54"/>
      <c r="O17" s="54"/>
      <c r="P17" s="54"/>
      <c r="Q17" s="54"/>
      <c r="R17" s="53"/>
      <c r="S17" s="53"/>
      <c r="T17" s="54"/>
      <c r="U17" s="54"/>
      <c r="V17" s="54"/>
      <c r="W17" s="52"/>
      <c r="X17" s="54"/>
      <c r="Y17" s="54"/>
      <c r="Z17" s="53"/>
      <c r="AA17" s="52"/>
      <c r="AB17" s="55">
        <v>0.63</v>
      </c>
      <c r="AC17" s="55"/>
      <c r="AD17" s="55"/>
      <c r="AE17" s="53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6">
        <f t="shared" si="0"/>
        <v>157.5</v>
      </c>
      <c r="BQ17" s="57"/>
      <c r="BR17" s="58">
        <f t="shared" si="1"/>
        <v>3307.5</v>
      </c>
      <c r="BS17" s="59">
        <f>SUBTOTAL(9,$BR$7:BR17)</f>
        <v>425671.64</v>
      </c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</row>
    <row r="18" spans="1:145" s="72" customFormat="1" x14ac:dyDescent="0.25">
      <c r="A18" s="50">
        <v>11</v>
      </c>
      <c r="B18" s="51" t="s">
        <v>106</v>
      </c>
      <c r="C18" s="51" t="s">
        <v>95</v>
      </c>
      <c r="D18" s="51" t="s">
        <v>92</v>
      </c>
      <c r="E18" s="52" t="s">
        <v>96</v>
      </c>
      <c r="F18" s="53" t="s">
        <v>83</v>
      </c>
      <c r="G18" s="54"/>
      <c r="H18" s="54">
        <v>111000</v>
      </c>
      <c r="I18" s="54"/>
      <c r="J18" s="54"/>
      <c r="K18" s="54"/>
      <c r="L18" s="54"/>
      <c r="M18" s="54"/>
      <c r="N18" s="54"/>
      <c r="O18" s="54"/>
      <c r="P18" s="54"/>
      <c r="Q18" s="54"/>
      <c r="R18" s="53"/>
      <c r="S18" s="53"/>
      <c r="T18" s="54"/>
      <c r="U18" s="54"/>
      <c r="V18" s="54"/>
      <c r="W18" s="52"/>
      <c r="X18" s="54"/>
      <c r="Y18" s="54"/>
      <c r="Z18" s="53"/>
      <c r="AA18" s="52"/>
      <c r="AB18" s="55">
        <v>0.5</v>
      </c>
      <c r="AC18" s="55"/>
      <c r="AD18" s="55"/>
      <c r="AE18" s="53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6">
        <f t="shared" si="0"/>
        <v>125</v>
      </c>
      <c r="BQ18" s="57"/>
      <c r="BR18" s="58">
        <f t="shared" si="1"/>
        <v>2625</v>
      </c>
      <c r="BS18" s="59">
        <f>SUBTOTAL(9,$BR$7:BR18)</f>
        <v>428296.64</v>
      </c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</row>
    <row r="19" spans="1:145" s="72" customFormat="1" x14ac:dyDescent="0.25">
      <c r="A19" s="50">
        <v>12</v>
      </c>
      <c r="B19" s="51" t="s">
        <v>107</v>
      </c>
      <c r="C19" s="51" t="s">
        <v>104</v>
      </c>
      <c r="D19" s="51" t="s">
        <v>108</v>
      </c>
      <c r="E19" s="52" t="s">
        <v>82</v>
      </c>
      <c r="F19" s="53" t="s">
        <v>83</v>
      </c>
      <c r="G19" s="54"/>
      <c r="H19" s="54">
        <v>128600</v>
      </c>
      <c r="I19" s="54"/>
      <c r="J19" s="54"/>
      <c r="K19" s="54"/>
      <c r="L19" s="54"/>
      <c r="M19" s="54"/>
      <c r="N19" s="54"/>
      <c r="O19" s="54"/>
      <c r="P19" s="54"/>
      <c r="Q19" s="54"/>
      <c r="R19" s="53"/>
      <c r="S19" s="53"/>
      <c r="T19" s="54"/>
      <c r="U19" s="54"/>
      <c r="V19" s="54"/>
      <c r="W19" s="52"/>
      <c r="X19" s="54"/>
      <c r="Y19" s="54"/>
      <c r="Z19" s="53"/>
      <c r="AA19" s="52"/>
      <c r="AB19" s="55">
        <v>0.57999999999999996</v>
      </c>
      <c r="AC19" s="55"/>
      <c r="AD19" s="55"/>
      <c r="AE19" s="53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6">
        <f t="shared" si="0"/>
        <v>145</v>
      </c>
      <c r="BQ19" s="57"/>
      <c r="BR19" s="58">
        <f t="shared" si="1"/>
        <v>3045</v>
      </c>
      <c r="BS19" s="59">
        <f>SUBTOTAL(9,$BR$7:BR19)</f>
        <v>431341.64</v>
      </c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</row>
    <row r="20" spans="1:145" s="72" customFormat="1" x14ac:dyDescent="0.25">
      <c r="A20" s="50">
        <v>13</v>
      </c>
      <c r="B20" s="51" t="s">
        <v>109</v>
      </c>
      <c r="C20" s="51" t="s">
        <v>110</v>
      </c>
      <c r="D20" s="51" t="s">
        <v>111</v>
      </c>
      <c r="E20" s="52" t="s">
        <v>112</v>
      </c>
      <c r="F20" s="53" t="s">
        <v>83</v>
      </c>
      <c r="G20" s="54"/>
      <c r="H20" s="54">
        <v>106000</v>
      </c>
      <c r="I20" s="54"/>
      <c r="J20" s="54"/>
      <c r="K20" s="54"/>
      <c r="L20" s="54"/>
      <c r="M20" s="54"/>
      <c r="N20" s="54"/>
      <c r="O20" s="54"/>
      <c r="P20" s="54"/>
      <c r="Q20" s="54"/>
      <c r="R20" s="53"/>
      <c r="S20" s="53"/>
      <c r="T20" s="54"/>
      <c r="U20" s="54"/>
      <c r="V20" s="54"/>
      <c r="W20" s="52"/>
      <c r="X20" s="54"/>
      <c r="Y20" s="54"/>
      <c r="Z20" s="53"/>
      <c r="AA20" s="52"/>
      <c r="AB20" s="55">
        <v>0.48</v>
      </c>
      <c r="AC20" s="55"/>
      <c r="AD20" s="55"/>
      <c r="AE20" s="53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6">
        <f t="shared" si="0"/>
        <v>120</v>
      </c>
      <c r="BQ20" s="57"/>
      <c r="BR20" s="58">
        <f t="shared" si="1"/>
        <v>2520</v>
      </c>
      <c r="BS20" s="59">
        <f>SUBTOTAL(9,$BR$7:BR20)</f>
        <v>433861.64</v>
      </c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</row>
    <row r="21" spans="1:145" s="72" customFormat="1" x14ac:dyDescent="0.25">
      <c r="A21" s="50">
        <v>14</v>
      </c>
      <c r="B21" s="51" t="s">
        <v>108</v>
      </c>
      <c r="C21" s="51" t="s">
        <v>113</v>
      </c>
      <c r="D21" s="51" t="s">
        <v>113</v>
      </c>
      <c r="E21" s="52" t="s">
        <v>82</v>
      </c>
      <c r="F21" s="53" t="s">
        <v>83</v>
      </c>
      <c r="G21" s="54"/>
      <c r="H21" s="54">
        <v>72500</v>
      </c>
      <c r="I21" s="54"/>
      <c r="J21" s="54"/>
      <c r="K21" s="54"/>
      <c r="L21" s="54"/>
      <c r="M21" s="54"/>
      <c r="N21" s="54"/>
      <c r="O21" s="54"/>
      <c r="P21" s="54"/>
      <c r="Q21" s="54"/>
      <c r="R21" s="53"/>
      <c r="S21" s="53"/>
      <c r="T21" s="54"/>
      <c r="U21" s="54"/>
      <c r="V21" s="54"/>
      <c r="W21" s="52"/>
      <c r="X21" s="54"/>
      <c r="Y21" s="54"/>
      <c r="Z21" s="53"/>
      <c r="AA21" s="52"/>
      <c r="AB21" s="55">
        <v>0.33</v>
      </c>
      <c r="AC21" s="55"/>
      <c r="AD21" s="55"/>
      <c r="AE21" s="53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6">
        <f t="shared" si="0"/>
        <v>82.5</v>
      </c>
      <c r="BQ21" s="57"/>
      <c r="BR21" s="58">
        <f t="shared" si="1"/>
        <v>1732.5</v>
      </c>
      <c r="BS21" s="59">
        <f>SUBTOTAL(9,$BR$7:BR21)</f>
        <v>435594.14</v>
      </c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</row>
    <row r="22" spans="1:145" s="72" customFormat="1" x14ac:dyDescent="0.25">
      <c r="A22" s="50">
        <v>15</v>
      </c>
      <c r="B22" s="51" t="s">
        <v>99</v>
      </c>
      <c r="C22" s="51" t="s">
        <v>114</v>
      </c>
      <c r="D22" s="51" t="s">
        <v>113</v>
      </c>
      <c r="E22" s="52" t="s">
        <v>82</v>
      </c>
      <c r="F22" s="53" t="s">
        <v>83</v>
      </c>
      <c r="G22" s="54"/>
      <c r="H22" s="54">
        <v>476970</v>
      </c>
      <c r="I22" s="54"/>
      <c r="J22" s="54"/>
      <c r="K22" s="54"/>
      <c r="L22" s="54"/>
      <c r="M22" s="54"/>
      <c r="N22" s="54"/>
      <c r="O22" s="54"/>
      <c r="P22" s="54"/>
      <c r="Q22" s="54"/>
      <c r="R22" s="53"/>
      <c r="S22" s="53"/>
      <c r="T22" s="54"/>
      <c r="U22" s="54"/>
      <c r="V22" s="54"/>
      <c r="W22" s="52"/>
      <c r="X22" s="54"/>
      <c r="Y22" s="54"/>
      <c r="Z22" s="53"/>
      <c r="AA22" s="52"/>
      <c r="AB22" s="55">
        <v>2.1199999999999997</v>
      </c>
      <c r="AC22" s="55"/>
      <c r="AD22" s="55"/>
      <c r="AE22" s="53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6">
        <f t="shared" si="0"/>
        <v>530</v>
      </c>
      <c r="BQ22" s="57"/>
      <c r="BR22" s="58">
        <f t="shared" si="1"/>
        <v>11129.999999999998</v>
      </c>
      <c r="BS22" s="59">
        <f>SUBTOTAL(9,$BR$7:BR22)</f>
        <v>446724.14</v>
      </c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</row>
    <row r="23" spans="1:145" x14ac:dyDescent="0.25">
      <c r="A23" s="50">
        <v>16</v>
      </c>
      <c r="B23" s="51" t="s">
        <v>115</v>
      </c>
      <c r="C23" s="51" t="s">
        <v>116</v>
      </c>
      <c r="D23" s="51" t="s">
        <v>117</v>
      </c>
      <c r="E23" s="52" t="s">
        <v>96</v>
      </c>
      <c r="F23" s="53" t="s">
        <v>83</v>
      </c>
      <c r="G23" s="54">
        <f>3645+580</f>
        <v>4225</v>
      </c>
      <c r="H23" s="52">
        <f>93251+11252+18849</f>
        <v>123352</v>
      </c>
      <c r="I23" s="54">
        <f t="shared" ref="I23:I31" si="2">ROUND(H23/9,0)</f>
        <v>13706</v>
      </c>
      <c r="J23" s="52"/>
      <c r="K23" s="52"/>
      <c r="L23" s="52"/>
      <c r="M23" s="52"/>
      <c r="N23" s="54">
        <f t="shared" ref="N23:N40" si="3">ROUND(H23/9*0.03,0)</f>
        <v>411</v>
      </c>
      <c r="O23" s="52"/>
      <c r="P23" s="54">
        <f t="shared" ref="P23:P40" si="4">ROUND(H23/9*0.03,0)</f>
        <v>411</v>
      </c>
      <c r="Q23" s="54">
        <f t="shared" ref="Q23:Q40" si="5">ROUND((((H23/9)*165)/2000)*1.25,0)</f>
        <v>1413</v>
      </c>
      <c r="R23" s="52"/>
      <c r="S23" s="52"/>
      <c r="T23" s="52"/>
      <c r="U23" s="52"/>
      <c r="V23" s="54">
        <f t="shared" ref="V23:V40" si="6">ROUND((((H23/9*165)/2000)*1.25)*0.12,0)</f>
        <v>170</v>
      </c>
      <c r="W23" s="52"/>
      <c r="X23" s="54">
        <f t="shared" ref="X23:X40" si="7">ROUND(H23/9*0.03,0)</f>
        <v>411</v>
      </c>
      <c r="Y23" s="54">
        <f t="shared" ref="Y23:Y40" si="8">ROUND((Q23+T23+V23)*0.08,0)</f>
        <v>127</v>
      </c>
      <c r="Z23" s="53"/>
      <c r="AA23" s="52">
        <f t="shared" ref="AA23:AA40" si="9">ROUND(G23*1.1,0)</f>
        <v>4648</v>
      </c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>
        <f>3500*2</f>
        <v>7000</v>
      </c>
      <c r="AP23" s="52"/>
      <c r="AQ23" s="51"/>
      <c r="AR23" s="51"/>
      <c r="AS23" s="52">
        <v>1000</v>
      </c>
      <c r="AT23" s="52"/>
      <c r="AU23" s="51"/>
      <c r="AV23" s="52">
        <v>75</v>
      </c>
      <c r="AW23" s="52">
        <v>5</v>
      </c>
      <c r="AX23" s="51"/>
      <c r="AY23" s="51"/>
      <c r="AZ23" s="51"/>
      <c r="BA23" s="51"/>
      <c r="BB23" s="51"/>
      <c r="BC23" s="51"/>
      <c r="BD23" s="51"/>
      <c r="BE23" s="51"/>
      <c r="BF23" s="52"/>
      <c r="BG23" s="51"/>
      <c r="BH23" s="51"/>
      <c r="BI23" s="51"/>
      <c r="BJ23" s="51"/>
      <c r="BK23" s="51"/>
      <c r="BL23" s="52">
        <v>7</v>
      </c>
      <c r="BM23" s="52">
        <v>2</v>
      </c>
      <c r="BN23" s="52">
        <v>1</v>
      </c>
      <c r="BO23" s="52">
        <v>10</v>
      </c>
      <c r="BP23" s="56">
        <f t="shared" si="0"/>
        <v>10443.49</v>
      </c>
      <c r="BQ23" s="73"/>
      <c r="BR23" s="58">
        <f t="shared" si="1"/>
        <v>219313.28999999998</v>
      </c>
      <c r="BS23" s="59">
        <f>SUBTOTAL(9,$BR$7:BR23)</f>
        <v>666037.42999999993</v>
      </c>
    </row>
    <row r="24" spans="1:145" ht="15" customHeight="1" x14ac:dyDescent="0.25">
      <c r="A24" s="50">
        <v>17</v>
      </c>
      <c r="B24" s="51" t="s">
        <v>118</v>
      </c>
      <c r="C24" s="51" t="s">
        <v>80</v>
      </c>
      <c r="D24" s="51" t="s">
        <v>119</v>
      </c>
      <c r="E24" s="52" t="s">
        <v>112</v>
      </c>
      <c r="F24" s="53" t="s">
        <v>83</v>
      </c>
      <c r="G24" s="54">
        <f>2300/2</f>
        <v>1150</v>
      </c>
      <c r="H24" s="54">
        <v>22400</v>
      </c>
      <c r="I24" s="54">
        <f t="shared" si="2"/>
        <v>2489</v>
      </c>
      <c r="J24" s="54"/>
      <c r="K24" s="54"/>
      <c r="L24" s="54"/>
      <c r="M24" s="54"/>
      <c r="N24" s="54">
        <f t="shared" si="3"/>
        <v>75</v>
      </c>
      <c r="O24" s="52"/>
      <c r="P24" s="54">
        <f t="shared" si="4"/>
        <v>75</v>
      </c>
      <c r="Q24" s="54">
        <f t="shared" si="5"/>
        <v>257</v>
      </c>
      <c r="R24" s="53"/>
      <c r="S24" s="53"/>
      <c r="T24" s="53"/>
      <c r="U24" s="54"/>
      <c r="V24" s="54">
        <f t="shared" si="6"/>
        <v>31</v>
      </c>
      <c r="W24" s="54"/>
      <c r="X24" s="54">
        <f t="shared" si="7"/>
        <v>75</v>
      </c>
      <c r="Y24" s="54">
        <f t="shared" si="8"/>
        <v>23</v>
      </c>
      <c r="Z24" s="53"/>
      <c r="AA24" s="52">
        <f t="shared" si="9"/>
        <v>1265</v>
      </c>
      <c r="AB24" s="53"/>
      <c r="AC24" s="53"/>
      <c r="AD24" s="53"/>
      <c r="AE24" s="53"/>
      <c r="AF24" s="52"/>
      <c r="AG24" s="52">
        <v>40</v>
      </c>
      <c r="AH24" s="52"/>
      <c r="AI24" s="52"/>
      <c r="AJ24" s="52">
        <v>28</v>
      </c>
      <c r="AK24" s="52"/>
      <c r="AL24" s="52">
        <v>40</v>
      </c>
      <c r="AM24" s="52"/>
      <c r="AN24" s="52"/>
      <c r="AO24" s="52">
        <f>40*7</f>
        <v>280</v>
      </c>
      <c r="AP24" s="52"/>
      <c r="AQ24" s="52"/>
      <c r="AR24" s="52"/>
      <c r="AS24" s="52">
        <v>350</v>
      </c>
      <c r="AT24" s="52"/>
      <c r="AU24" s="52"/>
      <c r="AV24" s="52">
        <f>15*7</f>
        <v>105</v>
      </c>
      <c r="AW24" s="52">
        <v>7</v>
      </c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>
        <v>1</v>
      </c>
      <c r="BM24" s="52"/>
      <c r="BN24" s="52"/>
      <c r="BO24" s="52">
        <v>1</v>
      </c>
      <c r="BP24" s="56">
        <f t="shared" si="0"/>
        <v>2424.61</v>
      </c>
      <c r="BQ24" s="73"/>
      <c r="BR24" s="58">
        <f t="shared" si="1"/>
        <v>50916.86</v>
      </c>
      <c r="BS24" s="59">
        <f>SUBTOTAL(9,$BR$7:BR24)</f>
        <v>716954.28999999992</v>
      </c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</row>
    <row r="25" spans="1:145" x14ac:dyDescent="0.25">
      <c r="A25" s="50">
        <v>18</v>
      </c>
      <c r="B25" s="51" t="s">
        <v>120</v>
      </c>
      <c r="C25" s="75" t="s">
        <v>121</v>
      </c>
      <c r="D25" s="75" t="s">
        <v>122</v>
      </c>
      <c r="E25" s="76" t="s">
        <v>112</v>
      </c>
      <c r="F25" s="77" t="s">
        <v>83</v>
      </c>
      <c r="G25" s="78">
        <v>2025</v>
      </c>
      <c r="H25" s="78">
        <v>51890</v>
      </c>
      <c r="I25" s="78">
        <v>5765</v>
      </c>
      <c r="J25" s="78"/>
      <c r="K25" s="78"/>
      <c r="L25" s="78"/>
      <c r="M25" s="78"/>
      <c r="N25" s="78">
        <v>173</v>
      </c>
      <c r="O25" s="78"/>
      <c r="P25" s="78">
        <v>173</v>
      </c>
      <c r="Q25" s="78">
        <v>594</v>
      </c>
      <c r="R25" s="78"/>
      <c r="S25" s="78"/>
      <c r="T25" s="78"/>
      <c r="U25" s="78"/>
      <c r="V25" s="78">
        <v>72</v>
      </c>
      <c r="W25" s="78"/>
      <c r="X25" s="78">
        <v>173</v>
      </c>
      <c r="Y25" s="78">
        <v>54</v>
      </c>
      <c r="Z25" s="78"/>
      <c r="AA25" s="78">
        <v>2228</v>
      </c>
      <c r="AB25" s="78"/>
      <c r="AC25" s="78"/>
      <c r="AD25" s="78">
        <v>1</v>
      </c>
      <c r="AE25" s="78"/>
      <c r="AF25" s="78"/>
      <c r="AG25" s="78">
        <v>340</v>
      </c>
      <c r="AH25" s="78"/>
      <c r="AI25" s="78"/>
      <c r="AJ25" s="78">
        <v>98</v>
      </c>
      <c r="AK25" s="78"/>
      <c r="AL25" s="78">
        <v>85</v>
      </c>
      <c r="AM25" s="78"/>
      <c r="AN25" s="78"/>
      <c r="AO25" s="78">
        <v>360</v>
      </c>
      <c r="AP25" s="78"/>
      <c r="AQ25" s="78"/>
      <c r="AR25" s="78"/>
      <c r="AS25" s="78">
        <v>640</v>
      </c>
      <c r="AT25" s="78"/>
      <c r="AU25" s="78"/>
      <c r="AV25" s="78">
        <v>135</v>
      </c>
      <c r="AW25" s="78">
        <v>9</v>
      </c>
      <c r="AX25" s="78"/>
      <c r="AY25" s="78"/>
      <c r="AZ25" s="78"/>
      <c r="BA25" s="78"/>
      <c r="BB25" s="78"/>
      <c r="BC25" s="78"/>
      <c r="BD25" s="78">
        <v>24</v>
      </c>
      <c r="BE25" s="78"/>
      <c r="BF25" s="78"/>
      <c r="BG25" s="78"/>
      <c r="BH25" s="78"/>
      <c r="BI25" s="78"/>
      <c r="BJ25" s="78"/>
      <c r="BK25" s="78">
        <v>1</v>
      </c>
      <c r="BL25" s="78">
        <v>2</v>
      </c>
      <c r="BM25" s="78"/>
      <c r="BN25" s="78"/>
      <c r="BO25" s="78"/>
      <c r="BP25" s="56">
        <f t="shared" si="0"/>
        <v>6635.62</v>
      </c>
      <c r="BQ25" s="79"/>
      <c r="BR25" s="58">
        <f t="shared" si="1"/>
        <v>139347.91999999998</v>
      </c>
      <c r="BS25" s="59">
        <f>SUBTOTAL(9,$BR$7:BR25)</f>
        <v>856302.21</v>
      </c>
    </row>
    <row r="26" spans="1:145" x14ac:dyDescent="0.25">
      <c r="A26" s="50">
        <v>19</v>
      </c>
      <c r="B26" s="75" t="s">
        <v>123</v>
      </c>
      <c r="C26" s="75" t="s">
        <v>124</v>
      </c>
      <c r="D26" s="75" t="s">
        <v>111</v>
      </c>
      <c r="E26" s="76" t="s">
        <v>112</v>
      </c>
      <c r="F26" s="77" t="s">
        <v>83</v>
      </c>
      <c r="G26" s="78">
        <v>1236</v>
      </c>
      <c r="H26" s="78">
        <v>36880</v>
      </c>
      <c r="I26" s="54">
        <f t="shared" si="2"/>
        <v>4098</v>
      </c>
      <c r="J26" s="78"/>
      <c r="K26" s="78"/>
      <c r="L26" s="78"/>
      <c r="M26" s="78"/>
      <c r="N26" s="78">
        <f t="shared" si="3"/>
        <v>123</v>
      </c>
      <c r="O26" s="52"/>
      <c r="P26" s="78">
        <f t="shared" si="4"/>
        <v>123</v>
      </c>
      <c r="Q26" s="78">
        <f t="shared" si="5"/>
        <v>423</v>
      </c>
      <c r="R26" s="77"/>
      <c r="S26" s="77"/>
      <c r="T26" s="78"/>
      <c r="U26" s="78"/>
      <c r="V26" s="78">
        <f t="shared" si="6"/>
        <v>51</v>
      </c>
      <c r="W26" s="76"/>
      <c r="X26" s="78">
        <f t="shared" si="7"/>
        <v>123</v>
      </c>
      <c r="Y26" s="78">
        <f t="shared" si="8"/>
        <v>38</v>
      </c>
      <c r="Z26" s="77"/>
      <c r="AA26" s="52">
        <f t="shared" si="9"/>
        <v>1360</v>
      </c>
      <c r="AB26" s="77"/>
      <c r="AC26" s="77"/>
      <c r="AD26" s="77"/>
      <c r="AE26" s="77"/>
      <c r="AF26" s="76"/>
      <c r="AG26" s="76"/>
      <c r="AH26" s="76"/>
      <c r="AI26" s="76"/>
      <c r="AJ26" s="76"/>
      <c r="AK26" s="76"/>
      <c r="AL26" s="76"/>
      <c r="AM26" s="76"/>
      <c r="AN26" s="76"/>
      <c r="AO26" s="76">
        <v>104</v>
      </c>
      <c r="AP26" s="76"/>
      <c r="AQ26" s="76"/>
      <c r="AR26" s="76"/>
      <c r="AS26" s="76">
        <v>140</v>
      </c>
      <c r="AT26" s="76"/>
      <c r="AU26" s="76"/>
      <c r="AV26" s="76">
        <v>28</v>
      </c>
      <c r="AW26" s="76">
        <v>1</v>
      </c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56">
        <f t="shared" si="0"/>
        <v>2875.99</v>
      </c>
      <c r="BQ26" s="80"/>
      <c r="BR26" s="58">
        <f t="shared" si="1"/>
        <v>60395.79</v>
      </c>
      <c r="BS26" s="59">
        <f>SUBTOTAL(9,$BR$7:BR26)</f>
        <v>916698</v>
      </c>
    </row>
    <row r="27" spans="1:145" x14ac:dyDescent="0.25">
      <c r="A27" s="50">
        <v>20</v>
      </c>
      <c r="B27" s="75" t="s">
        <v>125</v>
      </c>
      <c r="C27" s="75" t="s">
        <v>123</v>
      </c>
      <c r="D27" s="75" t="s">
        <v>111</v>
      </c>
      <c r="E27" s="76" t="s">
        <v>112</v>
      </c>
      <c r="F27" s="77" t="s">
        <v>83</v>
      </c>
      <c r="G27" s="78">
        <v>292</v>
      </c>
      <c r="H27" s="78">
        <v>9098</v>
      </c>
      <c r="I27" s="54">
        <f t="shared" si="2"/>
        <v>1011</v>
      </c>
      <c r="J27" s="78"/>
      <c r="K27" s="78"/>
      <c r="L27" s="78"/>
      <c r="M27" s="78"/>
      <c r="N27" s="78">
        <f t="shared" si="3"/>
        <v>30</v>
      </c>
      <c r="O27" s="52"/>
      <c r="P27" s="78">
        <f t="shared" si="4"/>
        <v>30</v>
      </c>
      <c r="Q27" s="78">
        <f t="shared" si="5"/>
        <v>104</v>
      </c>
      <c r="R27" s="77"/>
      <c r="S27" s="77"/>
      <c r="T27" s="78"/>
      <c r="U27" s="78"/>
      <c r="V27" s="78">
        <f t="shared" si="6"/>
        <v>13</v>
      </c>
      <c r="W27" s="76"/>
      <c r="X27" s="78">
        <f t="shared" si="7"/>
        <v>30</v>
      </c>
      <c r="Y27" s="78">
        <f t="shared" si="8"/>
        <v>9</v>
      </c>
      <c r="Z27" s="77"/>
      <c r="AA27" s="52">
        <f t="shared" si="9"/>
        <v>321</v>
      </c>
      <c r="AB27" s="77"/>
      <c r="AC27" s="77"/>
      <c r="AD27" s="77"/>
      <c r="AE27" s="77"/>
      <c r="AF27" s="76"/>
      <c r="AG27" s="76"/>
      <c r="AH27" s="76"/>
      <c r="AI27" s="76"/>
      <c r="AJ27" s="76"/>
      <c r="AK27" s="76"/>
      <c r="AL27" s="76"/>
      <c r="AM27" s="76"/>
      <c r="AN27" s="76"/>
      <c r="AO27" s="76">
        <v>40</v>
      </c>
      <c r="AP27" s="76"/>
      <c r="AQ27" s="76"/>
      <c r="AR27" s="76"/>
      <c r="AS27" s="76"/>
      <c r="AT27" s="76"/>
      <c r="AU27" s="76"/>
      <c r="AV27" s="76">
        <v>14</v>
      </c>
      <c r="AW27" s="76">
        <v>1</v>
      </c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56">
        <f t="shared" si="0"/>
        <v>706.84</v>
      </c>
      <c r="BQ27" s="80"/>
      <c r="BR27" s="58">
        <f t="shared" si="1"/>
        <v>14843.69</v>
      </c>
      <c r="BS27" s="59">
        <f>SUBTOTAL(9,$BR$7:BR27)</f>
        <v>931541.69</v>
      </c>
    </row>
    <row r="28" spans="1:145" x14ac:dyDescent="0.25">
      <c r="A28" s="50">
        <v>21</v>
      </c>
      <c r="B28" s="81" t="s">
        <v>126</v>
      </c>
      <c r="C28" s="75" t="s">
        <v>127</v>
      </c>
      <c r="D28" s="75" t="s">
        <v>111</v>
      </c>
      <c r="E28" s="76" t="s">
        <v>112</v>
      </c>
      <c r="F28" s="77" t="s">
        <v>83</v>
      </c>
      <c r="G28" s="78">
        <v>1550</v>
      </c>
      <c r="H28" s="76">
        <v>44590</v>
      </c>
      <c r="I28" s="54">
        <f t="shared" si="2"/>
        <v>4954</v>
      </c>
      <c r="J28" s="76"/>
      <c r="K28" s="78"/>
      <c r="L28" s="78"/>
      <c r="M28" s="78"/>
      <c r="N28" s="78">
        <f t="shared" si="3"/>
        <v>149</v>
      </c>
      <c r="O28" s="52"/>
      <c r="P28" s="78">
        <f t="shared" si="4"/>
        <v>149</v>
      </c>
      <c r="Q28" s="78">
        <f t="shared" si="5"/>
        <v>511</v>
      </c>
      <c r="R28" s="77"/>
      <c r="S28" s="77"/>
      <c r="T28" s="77"/>
      <c r="U28" s="76"/>
      <c r="V28" s="78">
        <f t="shared" si="6"/>
        <v>61</v>
      </c>
      <c r="W28" s="78"/>
      <c r="X28" s="78">
        <f t="shared" si="7"/>
        <v>149</v>
      </c>
      <c r="Y28" s="78">
        <f t="shared" si="8"/>
        <v>46</v>
      </c>
      <c r="Z28" s="77"/>
      <c r="AA28" s="52">
        <f t="shared" si="9"/>
        <v>1705</v>
      </c>
      <c r="AB28" s="76"/>
      <c r="AC28" s="76"/>
      <c r="AD28" s="76"/>
      <c r="AE28" s="76"/>
      <c r="AF28" s="76">
        <f>60+(20*44)</f>
        <v>940</v>
      </c>
      <c r="AG28" s="76"/>
      <c r="AH28" s="76">
        <f>19+(11*44)</f>
        <v>503</v>
      </c>
      <c r="AI28" s="76"/>
      <c r="AJ28" s="76"/>
      <c r="AK28" s="76"/>
      <c r="AL28" s="76">
        <f>20</f>
        <v>20</v>
      </c>
      <c r="AM28" s="76"/>
      <c r="AN28" s="76"/>
      <c r="AO28" s="76">
        <v>40</v>
      </c>
      <c r="AP28" s="76"/>
      <c r="AQ28" s="76"/>
      <c r="AR28" s="76"/>
      <c r="AS28" s="76"/>
      <c r="AT28" s="76"/>
      <c r="AU28" s="76"/>
      <c r="AV28" s="76">
        <v>15</v>
      </c>
      <c r="AW28" s="76">
        <v>1</v>
      </c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>
        <v>1</v>
      </c>
      <c r="BM28" s="76"/>
      <c r="BN28" s="76"/>
      <c r="BO28" s="76"/>
      <c r="BP28" s="56">
        <f t="shared" si="0"/>
        <v>8812.09</v>
      </c>
      <c r="BQ28" s="80"/>
      <c r="BR28" s="58">
        <f t="shared" si="1"/>
        <v>185053.84</v>
      </c>
      <c r="BS28" s="59">
        <f>SUBTOTAL(9,$BR$7:BR28)</f>
        <v>1116595.53</v>
      </c>
    </row>
    <row r="29" spans="1:145" x14ac:dyDescent="0.25">
      <c r="A29" s="50">
        <v>22</v>
      </c>
      <c r="B29" s="81" t="s">
        <v>128</v>
      </c>
      <c r="C29" s="75" t="s">
        <v>126</v>
      </c>
      <c r="D29" s="75" t="s">
        <v>126</v>
      </c>
      <c r="E29" s="76" t="s">
        <v>112</v>
      </c>
      <c r="F29" s="77" t="s">
        <v>83</v>
      </c>
      <c r="G29" s="78">
        <v>1225</v>
      </c>
      <c r="H29" s="76">
        <v>35090</v>
      </c>
      <c r="I29" s="54">
        <f t="shared" si="2"/>
        <v>3899</v>
      </c>
      <c r="J29" s="76"/>
      <c r="K29" s="78"/>
      <c r="L29" s="78"/>
      <c r="M29" s="78"/>
      <c r="N29" s="78">
        <f t="shared" si="3"/>
        <v>117</v>
      </c>
      <c r="O29" s="52"/>
      <c r="P29" s="78">
        <f t="shared" si="4"/>
        <v>117</v>
      </c>
      <c r="Q29" s="78">
        <f t="shared" si="5"/>
        <v>402</v>
      </c>
      <c r="R29" s="77"/>
      <c r="S29" s="77"/>
      <c r="T29" s="77"/>
      <c r="U29" s="76"/>
      <c r="V29" s="78">
        <f t="shared" si="6"/>
        <v>48</v>
      </c>
      <c r="W29" s="78"/>
      <c r="X29" s="78">
        <f t="shared" si="7"/>
        <v>117</v>
      </c>
      <c r="Y29" s="78">
        <f t="shared" si="8"/>
        <v>36</v>
      </c>
      <c r="Z29" s="77"/>
      <c r="AA29" s="52">
        <f t="shared" si="9"/>
        <v>1348</v>
      </c>
      <c r="AB29" s="76"/>
      <c r="AC29" s="76"/>
      <c r="AD29" s="76"/>
      <c r="AE29" s="76"/>
      <c r="AF29" s="76">
        <f>20*31</f>
        <v>620</v>
      </c>
      <c r="AG29" s="76"/>
      <c r="AH29" s="76">
        <f>11.25*31+0.25</f>
        <v>349</v>
      </c>
      <c r="AI29" s="76"/>
      <c r="AJ29" s="76"/>
      <c r="AK29" s="76"/>
      <c r="AL29" s="76"/>
      <c r="AM29" s="76"/>
      <c r="AN29" s="76"/>
      <c r="AO29" s="76">
        <v>80</v>
      </c>
      <c r="AP29" s="76"/>
      <c r="AQ29" s="76"/>
      <c r="AR29" s="76"/>
      <c r="AS29" s="76"/>
      <c r="AT29" s="76"/>
      <c r="AU29" s="76"/>
      <c r="AV29" s="76">
        <v>30</v>
      </c>
      <c r="AW29" s="76">
        <v>2</v>
      </c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56">
        <f t="shared" si="0"/>
        <v>6278.72</v>
      </c>
      <c r="BQ29" s="80"/>
      <c r="BR29" s="58">
        <f t="shared" si="1"/>
        <v>131853.01999999999</v>
      </c>
      <c r="BS29" s="59">
        <f>SUBTOTAL(9,$BR$7:BR29)</f>
        <v>1248448.55</v>
      </c>
    </row>
    <row r="30" spans="1:145" x14ac:dyDescent="0.25">
      <c r="A30" s="50">
        <v>23</v>
      </c>
      <c r="B30" s="81" t="s">
        <v>129</v>
      </c>
      <c r="C30" s="75" t="s">
        <v>92</v>
      </c>
      <c r="D30" s="75" t="s">
        <v>111</v>
      </c>
      <c r="E30" s="76" t="s">
        <v>112</v>
      </c>
      <c r="F30" s="77" t="s">
        <v>83</v>
      </c>
      <c r="G30" s="54">
        <v>1400</v>
      </c>
      <c r="H30" s="76">
        <v>26000</v>
      </c>
      <c r="I30" s="78">
        <f t="shared" si="2"/>
        <v>2889</v>
      </c>
      <c r="J30" s="76"/>
      <c r="K30" s="76"/>
      <c r="L30" s="76"/>
      <c r="M30" s="76"/>
      <c r="N30" s="78">
        <f t="shared" si="3"/>
        <v>87</v>
      </c>
      <c r="O30" s="52"/>
      <c r="P30" s="78">
        <f t="shared" si="4"/>
        <v>87</v>
      </c>
      <c r="Q30" s="78">
        <f t="shared" si="5"/>
        <v>298</v>
      </c>
      <c r="R30" s="76"/>
      <c r="S30" s="76"/>
      <c r="T30" s="76"/>
      <c r="U30" s="76"/>
      <c r="V30" s="78">
        <f t="shared" si="6"/>
        <v>36</v>
      </c>
      <c r="W30" s="76"/>
      <c r="X30" s="78">
        <f t="shared" si="7"/>
        <v>87</v>
      </c>
      <c r="Y30" s="78">
        <f t="shared" si="8"/>
        <v>27</v>
      </c>
      <c r="Z30" s="76"/>
      <c r="AA30" s="52">
        <f t="shared" si="9"/>
        <v>1540</v>
      </c>
      <c r="AB30" s="76"/>
      <c r="AC30" s="76"/>
      <c r="AD30" s="76"/>
      <c r="AE30" s="76"/>
      <c r="AF30" s="76"/>
      <c r="AG30" s="76">
        <v>20</v>
      </c>
      <c r="AH30" s="76"/>
      <c r="AI30" s="76"/>
      <c r="AJ30" s="76">
        <v>14</v>
      </c>
      <c r="AK30" s="76"/>
      <c r="AL30" s="76">
        <v>20</v>
      </c>
      <c r="AM30" s="76"/>
      <c r="AN30" s="76"/>
      <c r="AO30" s="76">
        <v>40</v>
      </c>
      <c r="AP30" s="76"/>
      <c r="AQ30" s="76"/>
      <c r="AR30" s="76"/>
      <c r="AS30" s="76">
        <v>80</v>
      </c>
      <c r="AT30" s="76"/>
      <c r="AU30" s="76"/>
      <c r="AV30" s="76">
        <v>15</v>
      </c>
      <c r="AW30" s="76">
        <v>1</v>
      </c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56">
        <f t="shared" si="0"/>
        <v>2279.9299999999998</v>
      </c>
      <c r="BQ30" s="82"/>
      <c r="BR30" s="58">
        <f t="shared" si="1"/>
        <v>47878.43</v>
      </c>
      <c r="BS30" s="59">
        <f>SUBTOTAL(9,$BR$7:BR30)</f>
        <v>1296326.98</v>
      </c>
    </row>
    <row r="31" spans="1:145" x14ac:dyDescent="0.25">
      <c r="A31" s="50">
        <v>24</v>
      </c>
      <c r="B31" s="81" t="s">
        <v>130</v>
      </c>
      <c r="C31" s="75" t="s">
        <v>131</v>
      </c>
      <c r="D31" s="75" t="s">
        <v>87</v>
      </c>
      <c r="E31" s="76" t="s">
        <v>112</v>
      </c>
      <c r="F31" s="77" t="s">
        <v>83</v>
      </c>
      <c r="G31" s="54">
        <f>1970/2</f>
        <v>985</v>
      </c>
      <c r="H31" s="76">
        <v>18053</v>
      </c>
      <c r="I31" s="78">
        <f t="shared" si="2"/>
        <v>2006</v>
      </c>
      <c r="J31" s="76"/>
      <c r="K31" s="76"/>
      <c r="L31" s="76"/>
      <c r="M31" s="76"/>
      <c r="N31" s="78">
        <f t="shared" si="3"/>
        <v>60</v>
      </c>
      <c r="O31" s="52"/>
      <c r="P31" s="78">
        <f t="shared" si="4"/>
        <v>60</v>
      </c>
      <c r="Q31" s="78">
        <f t="shared" si="5"/>
        <v>207</v>
      </c>
      <c r="R31" s="76"/>
      <c r="S31" s="76"/>
      <c r="T31" s="76"/>
      <c r="U31" s="76"/>
      <c r="V31" s="78">
        <f t="shared" si="6"/>
        <v>25</v>
      </c>
      <c r="W31" s="76"/>
      <c r="X31" s="78">
        <f t="shared" si="7"/>
        <v>60</v>
      </c>
      <c r="Y31" s="78">
        <f t="shared" si="8"/>
        <v>19</v>
      </c>
      <c r="Z31" s="76"/>
      <c r="AA31" s="52">
        <f t="shared" si="9"/>
        <v>1084</v>
      </c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>
        <v>20</v>
      </c>
      <c r="AP31" s="76"/>
      <c r="AQ31" s="76"/>
      <c r="AR31" s="76"/>
      <c r="AS31" s="76"/>
      <c r="AT31" s="76"/>
      <c r="AU31" s="76"/>
      <c r="AV31" s="76">
        <v>13</v>
      </c>
      <c r="AW31" s="76">
        <v>1</v>
      </c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>
        <v>3</v>
      </c>
      <c r="BP31" s="56">
        <f t="shared" si="0"/>
        <v>1431.12</v>
      </c>
      <c r="BQ31" s="82"/>
      <c r="BR31" s="83">
        <f t="shared" si="1"/>
        <v>30053.52</v>
      </c>
      <c r="BS31" s="59">
        <f>SUBTOTAL(9,$BR$7:BR31)</f>
        <v>1326380.5</v>
      </c>
    </row>
    <row r="32" spans="1:145" x14ac:dyDescent="0.25">
      <c r="A32" s="50">
        <v>25</v>
      </c>
      <c r="B32" s="84" t="s">
        <v>132</v>
      </c>
      <c r="C32" s="75" t="s">
        <v>92</v>
      </c>
      <c r="D32" s="75" t="s">
        <v>133</v>
      </c>
      <c r="E32" s="76" t="s">
        <v>112</v>
      </c>
      <c r="F32" s="77" t="s">
        <v>83</v>
      </c>
      <c r="G32" s="78">
        <v>5000</v>
      </c>
      <c r="H32" s="76">
        <v>130755</v>
      </c>
      <c r="I32" s="78">
        <f>ROUND(H32/9+(950*2*8)/9,0)</f>
        <v>16217</v>
      </c>
      <c r="J32" s="76"/>
      <c r="K32" s="76"/>
      <c r="L32" s="76"/>
      <c r="M32" s="76"/>
      <c r="N32" s="78">
        <f t="shared" si="3"/>
        <v>436</v>
      </c>
      <c r="O32" s="52"/>
      <c r="P32" s="78">
        <f t="shared" si="4"/>
        <v>436</v>
      </c>
      <c r="Q32" s="78">
        <f t="shared" si="5"/>
        <v>1498</v>
      </c>
      <c r="R32" s="76"/>
      <c r="S32" s="76"/>
      <c r="T32" s="76"/>
      <c r="U32" s="76"/>
      <c r="V32" s="78">
        <f t="shared" si="6"/>
        <v>180</v>
      </c>
      <c r="W32" s="76"/>
      <c r="X32" s="78">
        <f t="shared" si="7"/>
        <v>436</v>
      </c>
      <c r="Y32" s="78">
        <f t="shared" si="8"/>
        <v>134</v>
      </c>
      <c r="Z32" s="77"/>
      <c r="AA32" s="52">
        <f t="shared" si="9"/>
        <v>5500</v>
      </c>
      <c r="AB32" s="76"/>
      <c r="AC32" s="76"/>
      <c r="AD32" s="76"/>
      <c r="AE32" s="76"/>
      <c r="AF32" s="76">
        <f>60+(20*25)</f>
        <v>560</v>
      </c>
      <c r="AG32" s="76"/>
      <c r="AH32" s="76">
        <f>11.25*25+0.75</f>
        <v>282</v>
      </c>
      <c r="AI32" s="76"/>
      <c r="AJ32" s="76">
        <f>7*6</f>
        <v>42</v>
      </c>
      <c r="AK32" s="76"/>
      <c r="AL32" s="76">
        <v>30</v>
      </c>
      <c r="AM32" s="76"/>
      <c r="AN32" s="76"/>
      <c r="AO32" s="76">
        <v>160</v>
      </c>
      <c r="AP32" s="76"/>
      <c r="AQ32" s="76"/>
      <c r="AR32" s="76"/>
      <c r="AS32" s="76">
        <v>330</v>
      </c>
      <c r="AT32" s="76"/>
      <c r="AU32" s="76"/>
      <c r="AV32" s="76">
        <v>60</v>
      </c>
      <c r="AW32" s="76">
        <v>4</v>
      </c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>
        <v>4</v>
      </c>
      <c r="BM32" s="76"/>
      <c r="BN32" s="76">
        <v>1</v>
      </c>
      <c r="BO32" s="76">
        <v>1</v>
      </c>
      <c r="BP32" s="56">
        <f t="shared" si="0"/>
        <v>13882.83</v>
      </c>
      <c r="BQ32" s="85"/>
      <c r="BR32" s="83">
        <f t="shared" si="1"/>
        <v>291539.33</v>
      </c>
      <c r="BS32" s="59">
        <f>SUBTOTAL(9,$BR$7:BR32)</f>
        <v>1617919.83</v>
      </c>
    </row>
    <row r="33" spans="1:145" x14ac:dyDescent="0.25">
      <c r="A33" s="50">
        <v>26</v>
      </c>
      <c r="B33" s="84" t="s">
        <v>134</v>
      </c>
      <c r="C33" s="75" t="s">
        <v>132</v>
      </c>
      <c r="D33" s="75" t="s">
        <v>111</v>
      </c>
      <c r="E33" s="76" t="s">
        <v>112</v>
      </c>
      <c r="F33" s="77" t="s">
        <v>83</v>
      </c>
      <c r="G33" s="78">
        <v>725</v>
      </c>
      <c r="H33" s="76">
        <v>21625</v>
      </c>
      <c r="I33" s="78">
        <f>ROUND(H33/9,0)</f>
        <v>2403</v>
      </c>
      <c r="J33" s="76"/>
      <c r="K33" s="76"/>
      <c r="L33" s="76"/>
      <c r="M33" s="76"/>
      <c r="N33" s="78">
        <f t="shared" si="3"/>
        <v>72</v>
      </c>
      <c r="O33" s="52"/>
      <c r="P33" s="78">
        <f t="shared" si="4"/>
        <v>72</v>
      </c>
      <c r="Q33" s="78">
        <f t="shared" si="5"/>
        <v>248</v>
      </c>
      <c r="R33" s="76"/>
      <c r="S33" s="76"/>
      <c r="T33" s="76"/>
      <c r="U33" s="76"/>
      <c r="V33" s="78">
        <f t="shared" si="6"/>
        <v>30</v>
      </c>
      <c r="W33" s="76"/>
      <c r="X33" s="78">
        <f t="shared" si="7"/>
        <v>72</v>
      </c>
      <c r="Y33" s="78">
        <f t="shared" si="8"/>
        <v>22</v>
      </c>
      <c r="Z33" s="77"/>
      <c r="AA33" s="52">
        <f t="shared" si="9"/>
        <v>798</v>
      </c>
      <c r="AB33" s="76"/>
      <c r="AC33" s="76"/>
      <c r="AD33" s="76"/>
      <c r="AE33" s="76"/>
      <c r="AF33" s="76">
        <f>20*16</f>
        <v>320</v>
      </c>
      <c r="AG33" s="76"/>
      <c r="AH33" s="76">
        <f>ROUND(12*31,0)</f>
        <v>372</v>
      </c>
      <c r="AI33" s="76"/>
      <c r="AJ33" s="76"/>
      <c r="AK33" s="76"/>
      <c r="AL33" s="76"/>
      <c r="AM33" s="76"/>
      <c r="AN33" s="76"/>
      <c r="AO33" s="76">
        <v>40</v>
      </c>
      <c r="AP33" s="76"/>
      <c r="AQ33" s="76"/>
      <c r="AR33" s="76"/>
      <c r="AS33" s="76"/>
      <c r="AT33" s="76"/>
      <c r="AU33" s="76"/>
      <c r="AV33" s="76">
        <v>15</v>
      </c>
      <c r="AW33" s="76">
        <v>1</v>
      </c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>
        <v>1</v>
      </c>
      <c r="BM33" s="76"/>
      <c r="BN33" s="76"/>
      <c r="BO33" s="76"/>
      <c r="BP33" s="56">
        <f t="shared" si="0"/>
        <v>4289.99</v>
      </c>
      <c r="BQ33" s="85"/>
      <c r="BR33" s="83">
        <f t="shared" si="1"/>
        <v>90089.790000000008</v>
      </c>
      <c r="BS33" s="59">
        <f>SUBTOTAL(9,$BR$7:BR33)</f>
        <v>1708009.62</v>
      </c>
    </row>
    <row r="34" spans="1:145" x14ac:dyDescent="0.25">
      <c r="A34" s="50">
        <v>27</v>
      </c>
      <c r="B34" s="84" t="s">
        <v>135</v>
      </c>
      <c r="C34" s="75" t="s">
        <v>132</v>
      </c>
      <c r="D34" s="75" t="s">
        <v>87</v>
      </c>
      <c r="E34" s="76" t="s">
        <v>112</v>
      </c>
      <c r="F34" s="77" t="s">
        <v>83</v>
      </c>
      <c r="G34" s="78">
        <v>1300</v>
      </c>
      <c r="H34" s="76">
        <v>26225</v>
      </c>
      <c r="I34" s="78">
        <f>ROUND(H34/9,0)</f>
        <v>2914</v>
      </c>
      <c r="J34" s="76"/>
      <c r="K34" s="76"/>
      <c r="L34" s="76"/>
      <c r="M34" s="76"/>
      <c r="N34" s="78">
        <f t="shared" si="3"/>
        <v>87</v>
      </c>
      <c r="O34" s="52"/>
      <c r="P34" s="78">
        <f t="shared" si="4"/>
        <v>87</v>
      </c>
      <c r="Q34" s="78">
        <f t="shared" si="5"/>
        <v>300</v>
      </c>
      <c r="R34" s="76"/>
      <c r="S34" s="76"/>
      <c r="T34" s="76"/>
      <c r="U34" s="76"/>
      <c r="V34" s="78">
        <f t="shared" si="6"/>
        <v>36</v>
      </c>
      <c r="W34" s="76"/>
      <c r="X34" s="78">
        <f t="shared" si="7"/>
        <v>87</v>
      </c>
      <c r="Y34" s="78">
        <f t="shared" si="8"/>
        <v>27</v>
      </c>
      <c r="Z34" s="77"/>
      <c r="AA34" s="52">
        <f t="shared" si="9"/>
        <v>1430</v>
      </c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>
        <v>40</v>
      </c>
      <c r="AP34" s="76"/>
      <c r="AQ34" s="76"/>
      <c r="AR34" s="76"/>
      <c r="AS34" s="76"/>
      <c r="AT34" s="76"/>
      <c r="AU34" s="76"/>
      <c r="AV34" s="76">
        <v>15</v>
      </c>
      <c r="AW34" s="76">
        <v>1</v>
      </c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56">
        <f t="shared" si="0"/>
        <v>2025.88</v>
      </c>
      <c r="BQ34" s="85"/>
      <c r="BR34" s="83">
        <f t="shared" si="1"/>
        <v>42543.38</v>
      </c>
      <c r="BS34" s="59">
        <f>SUBTOTAL(9,$BR$7:BR34)</f>
        <v>1750553</v>
      </c>
    </row>
    <row r="35" spans="1:145" x14ac:dyDescent="0.25">
      <c r="A35" s="50">
        <v>28</v>
      </c>
      <c r="B35" s="84" t="s">
        <v>136</v>
      </c>
      <c r="C35" s="75" t="s">
        <v>132</v>
      </c>
      <c r="D35" s="75" t="s">
        <v>137</v>
      </c>
      <c r="E35" s="76" t="s">
        <v>112</v>
      </c>
      <c r="F35" s="77" t="s">
        <v>83</v>
      </c>
      <c r="G35" s="78">
        <v>775</v>
      </c>
      <c r="H35" s="76">
        <v>22560</v>
      </c>
      <c r="I35" s="78">
        <f>ROUND((H35/9)+((G35*16)/9),0)</f>
        <v>3884</v>
      </c>
      <c r="J35" s="76"/>
      <c r="K35" s="76"/>
      <c r="L35" s="76"/>
      <c r="M35" s="76"/>
      <c r="N35" s="78">
        <f t="shared" si="3"/>
        <v>75</v>
      </c>
      <c r="O35" s="52"/>
      <c r="P35" s="78">
        <f t="shared" si="4"/>
        <v>75</v>
      </c>
      <c r="Q35" s="78">
        <f t="shared" si="5"/>
        <v>259</v>
      </c>
      <c r="R35" s="76"/>
      <c r="S35" s="76"/>
      <c r="T35" s="76"/>
      <c r="U35" s="76"/>
      <c r="V35" s="78">
        <f t="shared" si="6"/>
        <v>31</v>
      </c>
      <c r="W35" s="76"/>
      <c r="X35" s="78">
        <f t="shared" si="7"/>
        <v>75</v>
      </c>
      <c r="Y35" s="78">
        <f t="shared" si="8"/>
        <v>23</v>
      </c>
      <c r="Z35" s="77"/>
      <c r="AA35" s="52">
        <f t="shared" si="9"/>
        <v>853</v>
      </c>
      <c r="AB35" s="76"/>
      <c r="AC35" s="76"/>
      <c r="AD35" s="76"/>
      <c r="AE35" s="76"/>
      <c r="AF35" s="76">
        <f>20*24</f>
        <v>480</v>
      </c>
      <c r="AG35" s="76"/>
      <c r="AH35" s="76">
        <f>12*24</f>
        <v>288</v>
      </c>
      <c r="AI35" s="76"/>
      <c r="AJ35" s="76"/>
      <c r="AK35" s="76"/>
      <c r="AL35" s="76"/>
      <c r="AM35" s="76"/>
      <c r="AN35" s="76"/>
      <c r="AO35" s="76">
        <v>80</v>
      </c>
      <c r="AP35" s="76"/>
      <c r="AQ35" s="76"/>
      <c r="AR35" s="76"/>
      <c r="AS35" s="76"/>
      <c r="AT35" s="76"/>
      <c r="AU35" s="76"/>
      <c r="AV35" s="76">
        <v>30</v>
      </c>
      <c r="AW35" s="76">
        <v>2</v>
      </c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56">
        <f t="shared" si="0"/>
        <v>4691.53</v>
      </c>
      <c r="BQ35" s="85"/>
      <c r="BR35" s="83">
        <f t="shared" si="1"/>
        <v>98522.08</v>
      </c>
      <c r="BS35" s="59">
        <f>SUBTOTAL(9,$BR$7:BR35)</f>
        <v>1849075.08</v>
      </c>
    </row>
    <row r="36" spans="1:145" x14ac:dyDescent="0.25">
      <c r="A36" s="50">
        <v>29</v>
      </c>
      <c r="B36" s="84" t="s">
        <v>138</v>
      </c>
      <c r="C36" s="75" t="s">
        <v>137</v>
      </c>
      <c r="D36" s="75" t="s">
        <v>111</v>
      </c>
      <c r="E36" s="76" t="s">
        <v>112</v>
      </c>
      <c r="F36" s="77" t="s">
        <v>83</v>
      </c>
      <c r="G36" s="78">
        <v>500</v>
      </c>
      <c r="H36" s="76">
        <v>15670</v>
      </c>
      <c r="I36" s="78">
        <f>ROUND((H36/9)+((G36*16)/9),0)</f>
        <v>2630</v>
      </c>
      <c r="J36" s="76"/>
      <c r="K36" s="76"/>
      <c r="L36" s="76"/>
      <c r="M36" s="76"/>
      <c r="N36" s="78">
        <f t="shared" si="3"/>
        <v>52</v>
      </c>
      <c r="O36" s="52"/>
      <c r="P36" s="78">
        <f t="shared" si="4"/>
        <v>52</v>
      </c>
      <c r="Q36" s="78">
        <f t="shared" si="5"/>
        <v>180</v>
      </c>
      <c r="R36" s="76"/>
      <c r="S36" s="76"/>
      <c r="T36" s="76"/>
      <c r="U36" s="76"/>
      <c r="V36" s="78">
        <f t="shared" si="6"/>
        <v>22</v>
      </c>
      <c r="W36" s="76"/>
      <c r="X36" s="78">
        <f t="shared" si="7"/>
        <v>52</v>
      </c>
      <c r="Y36" s="78">
        <f t="shared" si="8"/>
        <v>16</v>
      </c>
      <c r="Z36" s="77"/>
      <c r="AA36" s="52">
        <f t="shared" si="9"/>
        <v>550</v>
      </c>
      <c r="AB36" s="76"/>
      <c r="AC36" s="76"/>
      <c r="AD36" s="76"/>
      <c r="AE36" s="76"/>
      <c r="AF36" s="76">
        <f>20*15</f>
        <v>300</v>
      </c>
      <c r="AG36" s="76"/>
      <c r="AH36" s="76">
        <f>12*15</f>
        <v>180</v>
      </c>
      <c r="AI36" s="76"/>
      <c r="AJ36" s="76"/>
      <c r="AK36" s="76"/>
      <c r="AL36" s="76"/>
      <c r="AM36" s="76"/>
      <c r="AN36" s="76"/>
      <c r="AO36" s="76">
        <v>40</v>
      </c>
      <c r="AP36" s="76"/>
      <c r="AQ36" s="76"/>
      <c r="AR36" s="76"/>
      <c r="AS36" s="76"/>
      <c r="AT36" s="76"/>
      <c r="AU36" s="76"/>
      <c r="AV36" s="76">
        <v>15</v>
      </c>
      <c r="AW36" s="76">
        <v>1</v>
      </c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56">
        <f t="shared" si="0"/>
        <v>3051.68</v>
      </c>
      <c r="BQ36" s="85"/>
      <c r="BR36" s="83">
        <f t="shared" si="1"/>
        <v>64085.18</v>
      </c>
      <c r="BS36" s="59">
        <f>SUBTOTAL(9,$BR$7:BR36)</f>
        <v>1913160.26</v>
      </c>
    </row>
    <row r="37" spans="1:145" x14ac:dyDescent="0.25">
      <c r="A37" s="50">
        <v>30</v>
      </c>
      <c r="B37" s="84" t="s">
        <v>137</v>
      </c>
      <c r="C37" s="75" t="s">
        <v>127</v>
      </c>
      <c r="D37" s="75" t="s">
        <v>135</v>
      </c>
      <c r="E37" s="76" t="s">
        <v>112</v>
      </c>
      <c r="F37" s="77" t="s">
        <v>83</v>
      </c>
      <c r="G37" s="78">
        <v>825</v>
      </c>
      <c r="H37" s="76">
        <v>25810</v>
      </c>
      <c r="I37" s="78">
        <f>ROUND((H37/9)+((G37*16)/9),0)</f>
        <v>4334</v>
      </c>
      <c r="J37" s="76"/>
      <c r="K37" s="76"/>
      <c r="L37" s="76"/>
      <c r="M37" s="76"/>
      <c r="N37" s="78">
        <f t="shared" si="3"/>
        <v>86</v>
      </c>
      <c r="O37" s="52"/>
      <c r="P37" s="78">
        <f t="shared" si="4"/>
        <v>86</v>
      </c>
      <c r="Q37" s="78">
        <f t="shared" si="5"/>
        <v>296</v>
      </c>
      <c r="R37" s="76"/>
      <c r="S37" s="76"/>
      <c r="T37" s="76"/>
      <c r="U37" s="76"/>
      <c r="V37" s="78">
        <f t="shared" si="6"/>
        <v>35</v>
      </c>
      <c r="W37" s="76"/>
      <c r="X37" s="78">
        <f t="shared" si="7"/>
        <v>86</v>
      </c>
      <c r="Y37" s="78">
        <f t="shared" si="8"/>
        <v>26</v>
      </c>
      <c r="Z37" s="77"/>
      <c r="AA37" s="52">
        <f t="shared" si="9"/>
        <v>908</v>
      </c>
      <c r="AB37" s="76"/>
      <c r="AC37" s="76"/>
      <c r="AD37" s="76"/>
      <c r="AE37" s="76"/>
      <c r="AF37" s="76">
        <f>20*18</f>
        <v>360</v>
      </c>
      <c r="AG37" s="76"/>
      <c r="AH37" s="76">
        <f>12*18</f>
        <v>216</v>
      </c>
      <c r="AI37" s="76"/>
      <c r="AJ37" s="76"/>
      <c r="AK37" s="76"/>
      <c r="AL37" s="76"/>
      <c r="AM37" s="76"/>
      <c r="AN37" s="76"/>
      <c r="AO37" s="76">
        <v>160</v>
      </c>
      <c r="AP37" s="76"/>
      <c r="AQ37" s="76"/>
      <c r="AR37" s="76"/>
      <c r="AS37" s="76"/>
      <c r="AT37" s="76"/>
      <c r="AU37" s="76"/>
      <c r="AV37" s="76">
        <v>60</v>
      </c>
      <c r="AW37" s="76">
        <v>4</v>
      </c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>
        <v>1</v>
      </c>
      <c r="BM37" s="76"/>
      <c r="BN37" s="76"/>
      <c r="BO37" s="76"/>
      <c r="BP37" s="56">
        <f t="shared" si="0"/>
        <v>4279.24</v>
      </c>
      <c r="BQ37" s="85"/>
      <c r="BR37" s="83">
        <f t="shared" si="1"/>
        <v>89864.040000000008</v>
      </c>
      <c r="BS37" s="59">
        <f>SUBTOTAL(9,$BR$7:BR37)</f>
        <v>2003024.3</v>
      </c>
    </row>
    <row r="38" spans="1:145" x14ac:dyDescent="0.25">
      <c r="A38" s="50">
        <v>31</v>
      </c>
      <c r="B38" s="84" t="s">
        <v>139</v>
      </c>
      <c r="C38" s="75" t="s">
        <v>135</v>
      </c>
      <c r="D38" s="75" t="s">
        <v>111</v>
      </c>
      <c r="E38" s="76" t="s">
        <v>112</v>
      </c>
      <c r="F38" s="77" t="s">
        <v>83</v>
      </c>
      <c r="G38" s="78">
        <v>350</v>
      </c>
      <c r="H38" s="76">
        <v>12450</v>
      </c>
      <c r="I38" s="78">
        <f>ROUND(H38/9,0)</f>
        <v>1383</v>
      </c>
      <c r="J38" s="76"/>
      <c r="K38" s="76"/>
      <c r="L38" s="76"/>
      <c r="M38" s="76"/>
      <c r="N38" s="78">
        <f t="shared" si="3"/>
        <v>42</v>
      </c>
      <c r="O38" s="52"/>
      <c r="P38" s="78">
        <f t="shared" si="4"/>
        <v>42</v>
      </c>
      <c r="Q38" s="78">
        <f t="shared" si="5"/>
        <v>143</v>
      </c>
      <c r="R38" s="76"/>
      <c r="S38" s="76"/>
      <c r="T38" s="76"/>
      <c r="U38" s="76"/>
      <c r="V38" s="78">
        <f t="shared" si="6"/>
        <v>17</v>
      </c>
      <c r="W38" s="76"/>
      <c r="X38" s="78">
        <f t="shared" si="7"/>
        <v>42</v>
      </c>
      <c r="Y38" s="78">
        <f t="shared" si="8"/>
        <v>13</v>
      </c>
      <c r="Z38" s="77"/>
      <c r="AA38" s="52">
        <f t="shared" si="9"/>
        <v>385</v>
      </c>
      <c r="AB38" s="76"/>
      <c r="AC38" s="76"/>
      <c r="AD38" s="76"/>
      <c r="AE38" s="76"/>
      <c r="AF38" s="76">
        <f>20*9</f>
        <v>180</v>
      </c>
      <c r="AG38" s="76"/>
      <c r="AH38" s="76">
        <f>12*9</f>
        <v>108</v>
      </c>
      <c r="AI38" s="76"/>
      <c r="AJ38" s="76"/>
      <c r="AK38" s="76"/>
      <c r="AL38" s="76"/>
      <c r="AM38" s="76"/>
      <c r="AN38" s="76"/>
      <c r="AO38" s="76">
        <v>40</v>
      </c>
      <c r="AP38" s="76"/>
      <c r="AQ38" s="76"/>
      <c r="AR38" s="76"/>
      <c r="AS38" s="76"/>
      <c r="AT38" s="76"/>
      <c r="AU38" s="76"/>
      <c r="AV38" s="76">
        <v>15</v>
      </c>
      <c r="AW38" s="76">
        <v>1</v>
      </c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>
        <v>1</v>
      </c>
      <c r="BM38" s="76"/>
      <c r="BN38" s="76"/>
      <c r="BO38" s="76"/>
      <c r="BP38" s="56">
        <f t="shared" si="0"/>
        <v>2048.2600000000002</v>
      </c>
      <c r="BQ38" s="85"/>
      <c r="BR38" s="83">
        <f t="shared" si="1"/>
        <v>43013.51</v>
      </c>
      <c r="BS38" s="59">
        <f>SUBTOTAL(9,$BR$7:BR38)</f>
        <v>2046037.81</v>
      </c>
    </row>
    <row r="39" spans="1:145" x14ac:dyDescent="0.25">
      <c r="A39" s="50">
        <v>32</v>
      </c>
      <c r="B39" s="84" t="s">
        <v>140</v>
      </c>
      <c r="C39" s="75" t="s">
        <v>136</v>
      </c>
      <c r="D39" s="75" t="s">
        <v>111</v>
      </c>
      <c r="E39" s="76" t="s">
        <v>112</v>
      </c>
      <c r="F39" s="77" t="s">
        <v>83</v>
      </c>
      <c r="G39" s="78">
        <v>350</v>
      </c>
      <c r="H39" s="76">
        <v>10500</v>
      </c>
      <c r="I39" s="78">
        <f>ROUND(H39/9+(G39*2*8)/9,0)</f>
        <v>1789</v>
      </c>
      <c r="J39" s="76"/>
      <c r="K39" s="76"/>
      <c r="L39" s="76"/>
      <c r="M39" s="76"/>
      <c r="N39" s="78">
        <f t="shared" si="3"/>
        <v>35</v>
      </c>
      <c r="O39" s="52"/>
      <c r="P39" s="78">
        <f t="shared" si="4"/>
        <v>35</v>
      </c>
      <c r="Q39" s="78">
        <f t="shared" si="5"/>
        <v>120</v>
      </c>
      <c r="R39" s="76"/>
      <c r="S39" s="76"/>
      <c r="T39" s="76"/>
      <c r="U39" s="76"/>
      <c r="V39" s="78">
        <f t="shared" si="6"/>
        <v>14</v>
      </c>
      <c r="W39" s="76"/>
      <c r="X39" s="78">
        <f t="shared" si="7"/>
        <v>35</v>
      </c>
      <c r="Y39" s="78">
        <f t="shared" si="8"/>
        <v>11</v>
      </c>
      <c r="Z39" s="77"/>
      <c r="AA39" s="52">
        <f t="shared" si="9"/>
        <v>385</v>
      </c>
      <c r="AB39" s="76"/>
      <c r="AC39" s="76"/>
      <c r="AD39" s="76"/>
      <c r="AE39" s="76"/>
      <c r="AF39" s="76">
        <f>20*9</f>
        <v>180</v>
      </c>
      <c r="AG39" s="76"/>
      <c r="AH39" s="76">
        <f>12*9</f>
        <v>108</v>
      </c>
      <c r="AI39" s="76"/>
      <c r="AJ39" s="76"/>
      <c r="AK39" s="76"/>
      <c r="AL39" s="76"/>
      <c r="AM39" s="76"/>
      <c r="AN39" s="76"/>
      <c r="AO39" s="76">
        <v>40</v>
      </c>
      <c r="AP39" s="76"/>
      <c r="AQ39" s="76"/>
      <c r="AR39" s="76"/>
      <c r="AS39" s="76"/>
      <c r="AT39" s="76"/>
      <c r="AU39" s="76"/>
      <c r="AV39" s="76">
        <v>15</v>
      </c>
      <c r="AW39" s="76">
        <v>1</v>
      </c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>
        <v>1</v>
      </c>
      <c r="BM39" s="76"/>
      <c r="BN39" s="76"/>
      <c r="BO39" s="76"/>
      <c r="BP39" s="56">
        <f t="shared" si="0"/>
        <v>1942.81</v>
      </c>
      <c r="BQ39" s="85"/>
      <c r="BR39" s="83">
        <f t="shared" si="1"/>
        <v>40799.06</v>
      </c>
      <c r="BS39" s="59">
        <f>SUBTOTAL(9,$BR$7:BR39)</f>
        <v>2086836.87</v>
      </c>
    </row>
    <row r="40" spans="1:145" x14ac:dyDescent="0.25">
      <c r="A40" s="50">
        <v>33</v>
      </c>
      <c r="B40" s="84" t="s">
        <v>133</v>
      </c>
      <c r="C40" s="75" t="s">
        <v>132</v>
      </c>
      <c r="D40" s="75" t="s">
        <v>132</v>
      </c>
      <c r="E40" s="76" t="s">
        <v>112</v>
      </c>
      <c r="F40" s="77" t="s">
        <v>83</v>
      </c>
      <c r="G40" s="78">
        <v>1000</v>
      </c>
      <c r="H40" s="76">
        <v>30437</v>
      </c>
      <c r="I40" s="78">
        <f>ROUND(H40/9+(G40*2*8)/9,0)</f>
        <v>5160</v>
      </c>
      <c r="J40" s="76"/>
      <c r="K40" s="76"/>
      <c r="L40" s="76"/>
      <c r="M40" s="76"/>
      <c r="N40" s="78">
        <f t="shared" si="3"/>
        <v>101</v>
      </c>
      <c r="O40" s="52"/>
      <c r="P40" s="78">
        <f t="shared" si="4"/>
        <v>101</v>
      </c>
      <c r="Q40" s="78">
        <f t="shared" si="5"/>
        <v>349</v>
      </c>
      <c r="R40" s="76"/>
      <c r="S40" s="76"/>
      <c r="T40" s="76"/>
      <c r="U40" s="76"/>
      <c r="V40" s="78">
        <f t="shared" si="6"/>
        <v>42</v>
      </c>
      <c r="W40" s="76"/>
      <c r="X40" s="78">
        <f t="shared" si="7"/>
        <v>101</v>
      </c>
      <c r="Y40" s="78">
        <f t="shared" si="8"/>
        <v>31</v>
      </c>
      <c r="Z40" s="77"/>
      <c r="AA40" s="52">
        <f t="shared" si="9"/>
        <v>1100</v>
      </c>
      <c r="AB40" s="76"/>
      <c r="AC40" s="76"/>
      <c r="AD40" s="76"/>
      <c r="AE40" s="76"/>
      <c r="AF40" s="76">
        <f>20*28</f>
        <v>560</v>
      </c>
      <c r="AG40" s="76"/>
      <c r="AH40" s="76">
        <f>11.25*28</f>
        <v>315</v>
      </c>
      <c r="AI40" s="76"/>
      <c r="AJ40" s="76"/>
      <c r="AK40" s="76"/>
      <c r="AL40" s="76"/>
      <c r="AM40" s="76"/>
      <c r="AN40" s="76"/>
      <c r="AO40" s="76">
        <v>80</v>
      </c>
      <c r="AP40" s="76"/>
      <c r="AQ40" s="76"/>
      <c r="AR40" s="76"/>
      <c r="AS40" s="76"/>
      <c r="AT40" s="76"/>
      <c r="AU40" s="76"/>
      <c r="AV40" s="76">
        <v>30</v>
      </c>
      <c r="AW40" s="76">
        <v>2</v>
      </c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56">
        <f t="shared" si="0"/>
        <v>5708.25</v>
      </c>
      <c r="BQ40" s="85"/>
      <c r="BR40" s="83">
        <f t="shared" si="1"/>
        <v>119873.25</v>
      </c>
      <c r="BS40" s="59">
        <f>SUBTOTAL(9,$BR$7:BR40)</f>
        <v>2206710.12</v>
      </c>
    </row>
    <row r="41" spans="1:145" ht="15" customHeight="1" x14ac:dyDescent="0.25">
      <c r="A41" s="50">
        <v>34</v>
      </c>
      <c r="B41" s="86" t="s">
        <v>141</v>
      </c>
      <c r="C41" s="75" t="s">
        <v>94</v>
      </c>
      <c r="D41" s="75" t="s">
        <v>111</v>
      </c>
      <c r="E41" s="76" t="s">
        <v>142</v>
      </c>
      <c r="F41" s="77" t="s">
        <v>83</v>
      </c>
      <c r="G41" s="78">
        <v>100</v>
      </c>
      <c r="H41" s="76">
        <v>2905</v>
      </c>
      <c r="I41" s="78"/>
      <c r="J41" s="78">
        <v>30</v>
      </c>
      <c r="K41" s="76"/>
      <c r="L41" s="76"/>
      <c r="M41" s="76"/>
      <c r="N41" s="78">
        <f>ROUND(H41/9*0.03,0)</f>
        <v>10</v>
      </c>
      <c r="O41" s="76"/>
      <c r="P41" s="76">
        <f>ROUND(H41/9*0.03,0)</f>
        <v>10</v>
      </c>
      <c r="Q41" s="78">
        <f>ROUND((((H41/9)*165)/2000)*1.25,0)</f>
        <v>33</v>
      </c>
      <c r="R41" s="76"/>
      <c r="S41" s="76">
        <f>ROUND(((H41/9)*495)/2000,0)</f>
        <v>80</v>
      </c>
      <c r="T41" s="76"/>
      <c r="U41" s="78">
        <f>ROUND((((H41/9)*165)/2000)*1.25,0)</f>
        <v>33</v>
      </c>
      <c r="V41" s="87"/>
      <c r="W41" s="76"/>
      <c r="X41" s="78">
        <f>ROUND(H41/9*0.03,0)</f>
        <v>10</v>
      </c>
      <c r="Y41" s="78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56">
        <f t="shared" si="0"/>
        <v>528.25</v>
      </c>
      <c r="BQ41" s="80"/>
      <c r="BR41" s="88">
        <f t="shared" si="1"/>
        <v>11093.25</v>
      </c>
      <c r="BS41" s="59">
        <f>SUBTOTAL(9,$BR$7:BR41)</f>
        <v>2217803.37</v>
      </c>
    </row>
    <row r="42" spans="1:145" ht="15" customHeight="1" x14ac:dyDescent="0.25">
      <c r="A42" s="50">
        <v>35</v>
      </c>
      <c r="B42" s="86" t="s">
        <v>143</v>
      </c>
      <c r="C42" s="75" t="s">
        <v>97</v>
      </c>
      <c r="D42" s="75" t="s">
        <v>94</v>
      </c>
      <c r="E42" s="76" t="s">
        <v>142</v>
      </c>
      <c r="F42" s="77" t="s">
        <v>83</v>
      </c>
      <c r="G42" s="78">
        <v>350</v>
      </c>
      <c r="H42" s="76">
        <v>5005</v>
      </c>
      <c r="I42" s="78"/>
      <c r="J42" s="78">
        <f t="shared" ref="J42" si="10">ROUND(H42/9,0)</f>
        <v>556</v>
      </c>
      <c r="K42" s="76"/>
      <c r="L42" s="76"/>
      <c r="M42" s="76"/>
      <c r="N42" s="78">
        <f>ROUND(H42/9*0.03,0)</f>
        <v>17</v>
      </c>
      <c r="O42" s="76"/>
      <c r="P42" s="76"/>
      <c r="Q42" s="78"/>
      <c r="R42" s="76"/>
      <c r="S42" s="76"/>
      <c r="T42" s="76"/>
      <c r="U42" s="78">
        <f>ROUND((((H42/9)*165)/2000)*1.25,0)</f>
        <v>57</v>
      </c>
      <c r="V42" s="87"/>
      <c r="W42" s="76"/>
      <c r="X42" s="78"/>
      <c r="Y42" s="78">
        <f t="shared" ref="Y42" si="11">ROUND(((H42/9)*165/2000)*1.25*0.1,0)</f>
        <v>6</v>
      </c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>
        <v>2</v>
      </c>
      <c r="BM42" s="76"/>
      <c r="BN42" s="76"/>
      <c r="BO42" s="76"/>
      <c r="BP42" s="56">
        <f t="shared" si="0"/>
        <v>428.55</v>
      </c>
      <c r="BQ42" s="80"/>
      <c r="BR42" s="88">
        <f t="shared" si="1"/>
        <v>8999.5499999999993</v>
      </c>
      <c r="BS42" s="59">
        <f>SUBTOTAL(9,$BR$7:BR54)</f>
        <v>3409716.04</v>
      </c>
    </row>
    <row r="43" spans="1:145" x14ac:dyDescent="0.25">
      <c r="A43" s="50">
        <v>36</v>
      </c>
      <c r="B43" s="51" t="s">
        <v>144</v>
      </c>
      <c r="C43" s="75" t="s">
        <v>103</v>
      </c>
      <c r="D43" s="75" t="s">
        <v>145</v>
      </c>
      <c r="E43" s="76" t="s">
        <v>112</v>
      </c>
      <c r="F43" s="77" t="s">
        <v>83</v>
      </c>
      <c r="G43" s="78">
        <v>1200</v>
      </c>
      <c r="H43" s="78">
        <v>26800</v>
      </c>
      <c r="I43" s="78">
        <f>ROUND(H43/9,0)</f>
        <v>2978</v>
      </c>
      <c r="J43" s="78"/>
      <c r="K43" s="78"/>
      <c r="L43" s="78"/>
      <c r="M43" s="78"/>
      <c r="N43" s="78">
        <f t="shared" ref="N43:N49" si="12">ROUND(H43/9*0.03,0)</f>
        <v>89</v>
      </c>
      <c r="O43" s="52"/>
      <c r="P43" s="78">
        <f t="shared" ref="P43:P49" si="13">ROUND(H43/9*0.03,0)</f>
        <v>89</v>
      </c>
      <c r="Q43" s="78">
        <f t="shared" ref="Q43:Q52" si="14">ROUND((((H43/9)*165)/2000)*1.25,0)</f>
        <v>307</v>
      </c>
      <c r="R43" s="77"/>
      <c r="S43" s="77"/>
      <c r="T43" s="77"/>
      <c r="U43" s="77"/>
      <c r="V43" s="78">
        <f t="shared" ref="V43:V49" si="15">ROUND((((H43/9*165)/2000)*1.25)*0.12,0)</f>
        <v>37</v>
      </c>
      <c r="W43" s="78"/>
      <c r="X43" s="78">
        <f t="shared" ref="X43:X49" si="16">ROUND(H43/9*0.03,0)</f>
        <v>89</v>
      </c>
      <c r="Y43" s="78">
        <f t="shared" ref="Y43:Y49" si="17">ROUND((Q43+T43+V43)*0.08,0)</f>
        <v>28</v>
      </c>
      <c r="Z43" s="77"/>
      <c r="AA43" s="52">
        <f t="shared" ref="AA43:AA53" si="18">ROUND(G43*1.1,0)</f>
        <v>1320</v>
      </c>
      <c r="AB43" s="77"/>
      <c r="AC43" s="77"/>
      <c r="AD43" s="77"/>
      <c r="AE43" s="77"/>
      <c r="AF43" s="76"/>
      <c r="AG43" s="76"/>
      <c r="AH43" s="76"/>
      <c r="AI43" s="76"/>
      <c r="AJ43" s="76"/>
      <c r="AK43" s="76"/>
      <c r="AL43" s="76"/>
      <c r="AM43" s="76"/>
      <c r="AN43" s="76"/>
      <c r="AO43" s="76">
        <v>40</v>
      </c>
      <c r="AP43" s="76"/>
      <c r="AQ43" s="76"/>
      <c r="AR43" s="76"/>
      <c r="AS43" s="76"/>
      <c r="AT43" s="76"/>
      <c r="AU43" s="76"/>
      <c r="AV43" s="76">
        <v>15</v>
      </c>
      <c r="AW43" s="76">
        <v>1</v>
      </c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>
        <v>2</v>
      </c>
      <c r="BP43" s="56">
        <f t="shared" si="0"/>
        <v>2091.15</v>
      </c>
      <c r="BQ43" s="89"/>
      <c r="BR43" s="83">
        <f t="shared" si="1"/>
        <v>43914.15</v>
      </c>
      <c r="BS43" s="59">
        <f>SUBTOTAL(9,$BR$7:BR43)</f>
        <v>2270717.0699999998</v>
      </c>
    </row>
    <row r="44" spans="1:145" s="72" customFormat="1" x14ac:dyDescent="0.25">
      <c r="A44" s="50">
        <v>37</v>
      </c>
      <c r="B44" s="51" t="s">
        <v>145</v>
      </c>
      <c r="C44" s="75" t="s">
        <v>144</v>
      </c>
      <c r="D44" s="75" t="s">
        <v>111</v>
      </c>
      <c r="E44" s="76" t="s">
        <v>112</v>
      </c>
      <c r="F44" s="77" t="s">
        <v>83</v>
      </c>
      <c r="G44" s="78">
        <v>2000</v>
      </c>
      <c r="H44" s="78">
        <v>45220</v>
      </c>
      <c r="I44" s="78">
        <f>ROUND(H44/9,0)</f>
        <v>5024</v>
      </c>
      <c r="J44" s="78"/>
      <c r="K44" s="78"/>
      <c r="L44" s="78"/>
      <c r="M44" s="78"/>
      <c r="N44" s="78">
        <f t="shared" si="12"/>
        <v>151</v>
      </c>
      <c r="O44" s="52"/>
      <c r="P44" s="78">
        <f t="shared" si="13"/>
        <v>151</v>
      </c>
      <c r="Q44" s="78">
        <f t="shared" si="14"/>
        <v>518</v>
      </c>
      <c r="R44" s="77"/>
      <c r="S44" s="77"/>
      <c r="T44" s="77"/>
      <c r="U44" s="77"/>
      <c r="V44" s="78">
        <f t="shared" si="15"/>
        <v>62</v>
      </c>
      <c r="W44" s="78"/>
      <c r="X44" s="78">
        <f t="shared" si="16"/>
        <v>151</v>
      </c>
      <c r="Y44" s="78">
        <f t="shared" si="17"/>
        <v>46</v>
      </c>
      <c r="Z44" s="77"/>
      <c r="AA44" s="52">
        <f t="shared" si="18"/>
        <v>2200</v>
      </c>
      <c r="AB44" s="77"/>
      <c r="AC44" s="77"/>
      <c r="AD44" s="77"/>
      <c r="AE44" s="77"/>
      <c r="AF44" s="76"/>
      <c r="AG44" s="76"/>
      <c r="AH44" s="76"/>
      <c r="AI44" s="76"/>
      <c r="AJ44" s="76"/>
      <c r="AK44" s="76"/>
      <c r="AL44" s="76"/>
      <c r="AM44" s="76"/>
      <c r="AN44" s="76"/>
      <c r="AO44" s="76">
        <v>40</v>
      </c>
      <c r="AP44" s="76"/>
      <c r="AQ44" s="76"/>
      <c r="AR44" s="76"/>
      <c r="AS44" s="76"/>
      <c r="AT44" s="76"/>
      <c r="AU44" s="76"/>
      <c r="AV44" s="76">
        <v>15</v>
      </c>
      <c r="AW44" s="76">
        <v>1</v>
      </c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>
        <v>2</v>
      </c>
      <c r="BP44" s="56">
        <f t="shared" si="0"/>
        <v>3486.4</v>
      </c>
      <c r="BQ44" s="89"/>
      <c r="BR44" s="83">
        <f t="shared" si="1"/>
        <v>73214.399999999994</v>
      </c>
      <c r="BS44" s="59">
        <f>SUBTOTAL(9,$BR$7:BR44)</f>
        <v>2343931.4699999997</v>
      </c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</row>
    <row r="45" spans="1:145" x14ac:dyDescent="0.25">
      <c r="A45" s="50">
        <v>38</v>
      </c>
      <c r="B45" s="75" t="s">
        <v>146</v>
      </c>
      <c r="C45" s="75" t="s">
        <v>147</v>
      </c>
      <c r="D45" s="75" t="s">
        <v>148</v>
      </c>
      <c r="E45" s="76" t="s">
        <v>112</v>
      </c>
      <c r="F45" s="77" t="s">
        <v>83</v>
      </c>
      <c r="G45" s="76">
        <v>2805</v>
      </c>
      <c r="H45" s="76">
        <v>88162</v>
      </c>
      <c r="I45" s="54">
        <f>ROUND(H45/9,0)</f>
        <v>9796</v>
      </c>
      <c r="J45" s="52"/>
      <c r="K45" s="52"/>
      <c r="L45" s="52"/>
      <c r="M45" s="52"/>
      <c r="N45" s="78">
        <f t="shared" si="12"/>
        <v>294</v>
      </c>
      <c r="O45" s="52"/>
      <c r="P45" s="78">
        <f t="shared" si="13"/>
        <v>294</v>
      </c>
      <c r="Q45" s="78">
        <f t="shared" si="14"/>
        <v>1010</v>
      </c>
      <c r="R45" s="52"/>
      <c r="S45" s="52"/>
      <c r="T45" s="52"/>
      <c r="U45" s="52"/>
      <c r="V45" s="78">
        <f t="shared" si="15"/>
        <v>121</v>
      </c>
      <c r="W45" s="52"/>
      <c r="X45" s="78">
        <f t="shared" si="16"/>
        <v>294</v>
      </c>
      <c r="Y45" s="78">
        <f t="shared" si="17"/>
        <v>90</v>
      </c>
      <c r="Z45" s="77"/>
      <c r="AA45" s="52">
        <f t="shared" si="18"/>
        <v>3086</v>
      </c>
      <c r="AB45" s="52"/>
      <c r="AC45" s="52"/>
      <c r="AD45" s="52"/>
      <c r="AE45" s="52"/>
      <c r="AF45" s="52">
        <f>20*(65+18)</f>
        <v>1660</v>
      </c>
      <c r="AG45" s="52"/>
      <c r="AH45" s="52">
        <f>11.25*65+0.75</f>
        <v>732</v>
      </c>
      <c r="AI45" s="52"/>
      <c r="AJ45" s="52">
        <f>7*18</f>
        <v>126</v>
      </c>
      <c r="AK45" s="52"/>
      <c r="AL45" s="52">
        <f>7*(65+18)</f>
        <v>581</v>
      </c>
      <c r="AM45" s="52"/>
      <c r="AN45" s="52"/>
      <c r="AO45" s="52">
        <f>40*8</f>
        <v>320</v>
      </c>
      <c r="AP45" s="52"/>
      <c r="AQ45" s="51"/>
      <c r="AR45" s="52"/>
      <c r="AS45" s="52">
        <f>80*18</f>
        <v>1440</v>
      </c>
      <c r="AT45" s="52"/>
      <c r="AU45" s="52"/>
      <c r="AV45" s="52">
        <f>15*8</f>
        <v>120</v>
      </c>
      <c r="AW45" s="52">
        <v>8</v>
      </c>
      <c r="AX45" s="51"/>
      <c r="AY45" s="51"/>
      <c r="AZ45" s="51"/>
      <c r="BA45" s="51"/>
      <c r="BB45" s="51"/>
      <c r="BC45" s="51"/>
      <c r="BD45" s="51"/>
      <c r="BE45" s="51"/>
      <c r="BF45" s="52"/>
      <c r="BG45" s="51"/>
      <c r="BH45" s="51"/>
      <c r="BI45" s="51"/>
      <c r="BJ45" s="51"/>
      <c r="BK45" s="51"/>
      <c r="BL45" s="52">
        <v>5</v>
      </c>
      <c r="BM45" s="52">
        <v>1</v>
      </c>
      <c r="BN45" s="51"/>
      <c r="BO45" s="52">
        <v>3</v>
      </c>
      <c r="BP45" s="56">
        <f t="shared" si="0"/>
        <v>19004.21</v>
      </c>
      <c r="BQ45" s="73"/>
      <c r="BR45" s="83">
        <f t="shared" si="1"/>
        <v>399088.31</v>
      </c>
      <c r="BS45" s="59">
        <f>SUBTOTAL(9,$BR$7:BR45)</f>
        <v>2743019.78</v>
      </c>
    </row>
    <row r="46" spans="1:145" x14ac:dyDescent="0.25">
      <c r="A46" s="50">
        <v>39</v>
      </c>
      <c r="B46" s="51" t="s">
        <v>149</v>
      </c>
      <c r="C46" s="75" t="s">
        <v>150</v>
      </c>
      <c r="D46" s="75" t="s">
        <v>151</v>
      </c>
      <c r="E46" s="76" t="s">
        <v>112</v>
      </c>
      <c r="F46" s="77" t="s">
        <v>83</v>
      </c>
      <c r="G46" s="78">
        <v>1225</v>
      </c>
      <c r="H46" s="78">
        <v>34740</v>
      </c>
      <c r="I46" s="78">
        <f>ROUND(H46/9,0)</f>
        <v>3860</v>
      </c>
      <c r="J46" s="78"/>
      <c r="K46" s="78"/>
      <c r="L46" s="78"/>
      <c r="M46" s="78"/>
      <c r="N46" s="78">
        <f t="shared" si="12"/>
        <v>116</v>
      </c>
      <c r="O46" s="52"/>
      <c r="P46" s="78">
        <f t="shared" si="13"/>
        <v>116</v>
      </c>
      <c r="Q46" s="78">
        <f t="shared" si="14"/>
        <v>398</v>
      </c>
      <c r="R46" s="77"/>
      <c r="S46" s="77"/>
      <c r="T46" s="77"/>
      <c r="U46" s="77"/>
      <c r="V46" s="78">
        <f t="shared" si="15"/>
        <v>48</v>
      </c>
      <c r="W46" s="78"/>
      <c r="X46" s="78">
        <f t="shared" si="16"/>
        <v>116</v>
      </c>
      <c r="Y46" s="78">
        <f t="shared" si="17"/>
        <v>36</v>
      </c>
      <c r="Z46" s="77"/>
      <c r="AA46" s="52">
        <f t="shared" si="18"/>
        <v>1348</v>
      </c>
      <c r="AB46" s="77"/>
      <c r="AC46" s="77"/>
      <c r="AD46" s="77"/>
      <c r="AE46" s="77"/>
      <c r="AF46" s="76">
        <f>20*30</f>
        <v>600</v>
      </c>
      <c r="AG46" s="76"/>
      <c r="AH46" s="76">
        <f>12*30</f>
        <v>360</v>
      </c>
      <c r="AI46" s="76"/>
      <c r="AJ46" s="76">
        <f>7*4</f>
        <v>28</v>
      </c>
      <c r="AK46" s="76"/>
      <c r="AL46" s="76">
        <f>7*4</f>
        <v>28</v>
      </c>
      <c r="AM46" s="76"/>
      <c r="AN46" s="76"/>
      <c r="AO46" s="76">
        <f>40*2</f>
        <v>80</v>
      </c>
      <c r="AP46" s="76"/>
      <c r="AQ46" s="76"/>
      <c r="AR46" s="76"/>
      <c r="AS46" s="76">
        <v>160</v>
      </c>
      <c r="AT46" s="76"/>
      <c r="AU46" s="76"/>
      <c r="AV46" s="76">
        <v>30</v>
      </c>
      <c r="AW46" s="76">
        <v>2</v>
      </c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>
        <v>2</v>
      </c>
      <c r="BM46" s="76"/>
      <c r="BN46" s="76"/>
      <c r="BO46" s="76">
        <v>1</v>
      </c>
      <c r="BP46" s="56">
        <f t="shared" si="0"/>
        <v>6611.59</v>
      </c>
      <c r="BQ46" s="89"/>
      <c r="BR46" s="83">
        <f t="shared" si="1"/>
        <v>138843.38999999998</v>
      </c>
      <c r="BS46" s="59">
        <f>SUBTOTAL(9,$BR$7:BR46)</f>
        <v>2881863.17</v>
      </c>
    </row>
    <row r="47" spans="1:145" x14ac:dyDescent="0.25">
      <c r="A47" s="50">
        <v>40</v>
      </c>
      <c r="B47" s="51" t="s">
        <v>152</v>
      </c>
      <c r="C47" s="75" t="s">
        <v>149</v>
      </c>
      <c r="D47" s="75" t="s">
        <v>111</v>
      </c>
      <c r="E47" s="76" t="s">
        <v>112</v>
      </c>
      <c r="F47" s="77" t="s">
        <v>83</v>
      </c>
      <c r="G47" s="78">
        <v>1100</v>
      </c>
      <c r="H47" s="78">
        <v>32075</v>
      </c>
      <c r="I47" s="78">
        <f>ROUND(H47/9,0)</f>
        <v>3564</v>
      </c>
      <c r="J47" s="78"/>
      <c r="K47" s="78"/>
      <c r="L47" s="78"/>
      <c r="M47" s="78"/>
      <c r="N47" s="78">
        <f t="shared" si="12"/>
        <v>107</v>
      </c>
      <c r="O47" s="52"/>
      <c r="P47" s="78">
        <f t="shared" si="13"/>
        <v>107</v>
      </c>
      <c r="Q47" s="78">
        <f t="shared" si="14"/>
        <v>368</v>
      </c>
      <c r="R47" s="77"/>
      <c r="S47" s="77"/>
      <c r="T47" s="77"/>
      <c r="U47" s="77"/>
      <c r="V47" s="78">
        <f t="shared" si="15"/>
        <v>44</v>
      </c>
      <c r="W47" s="78"/>
      <c r="X47" s="78">
        <f t="shared" si="16"/>
        <v>107</v>
      </c>
      <c r="Y47" s="78">
        <f t="shared" si="17"/>
        <v>33</v>
      </c>
      <c r="Z47" s="77"/>
      <c r="AA47" s="52">
        <f t="shared" si="18"/>
        <v>1210</v>
      </c>
      <c r="AB47" s="77"/>
      <c r="AC47" s="77"/>
      <c r="AD47" s="77"/>
      <c r="AE47" s="77"/>
      <c r="AF47" s="76">
        <f>20*38</f>
        <v>760</v>
      </c>
      <c r="AG47" s="76"/>
      <c r="AH47" s="76">
        <f>12*38</f>
        <v>456</v>
      </c>
      <c r="AI47" s="76"/>
      <c r="AJ47" s="76">
        <f>14</f>
        <v>14</v>
      </c>
      <c r="AK47" s="76"/>
      <c r="AL47" s="76">
        <f>14</f>
        <v>14</v>
      </c>
      <c r="AM47" s="76"/>
      <c r="AN47" s="76"/>
      <c r="AO47" s="76">
        <v>40</v>
      </c>
      <c r="AP47" s="76"/>
      <c r="AQ47" s="76"/>
      <c r="AR47" s="76"/>
      <c r="AS47" s="76">
        <v>80</v>
      </c>
      <c r="AT47" s="76"/>
      <c r="AU47" s="76"/>
      <c r="AV47" s="76">
        <v>15</v>
      </c>
      <c r="AW47" s="76">
        <v>1</v>
      </c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56">
        <f t="shared" si="0"/>
        <v>7122.78</v>
      </c>
      <c r="BQ47" s="89"/>
      <c r="BR47" s="83">
        <f t="shared" si="1"/>
        <v>149578.28</v>
      </c>
      <c r="BS47" s="59">
        <f>SUBTOTAL(9,$BR$7:BR47)</f>
        <v>3031441.4499999997</v>
      </c>
    </row>
    <row r="48" spans="1:145" x14ac:dyDescent="0.25">
      <c r="A48" s="50">
        <v>41</v>
      </c>
      <c r="B48" s="51" t="s">
        <v>153</v>
      </c>
      <c r="C48" s="75" t="s">
        <v>150</v>
      </c>
      <c r="D48" s="75" t="s">
        <v>111</v>
      </c>
      <c r="E48" s="76" t="s">
        <v>112</v>
      </c>
      <c r="F48" s="77" t="s">
        <v>83</v>
      </c>
      <c r="G48" s="78">
        <v>425</v>
      </c>
      <c r="H48" s="78">
        <v>15850</v>
      </c>
      <c r="I48" s="78">
        <f>ROUND((H48/9)+(((G48/2)*16)/9),0)</f>
        <v>2139</v>
      </c>
      <c r="J48" s="78"/>
      <c r="K48" s="78"/>
      <c r="L48" s="78"/>
      <c r="M48" s="78"/>
      <c r="N48" s="78">
        <f t="shared" si="12"/>
        <v>53</v>
      </c>
      <c r="O48" s="52"/>
      <c r="P48" s="78">
        <f t="shared" si="13"/>
        <v>53</v>
      </c>
      <c r="Q48" s="78">
        <f t="shared" si="14"/>
        <v>182</v>
      </c>
      <c r="R48" s="77"/>
      <c r="S48" s="77"/>
      <c r="T48" s="77"/>
      <c r="U48" s="77"/>
      <c r="V48" s="78">
        <f t="shared" si="15"/>
        <v>22</v>
      </c>
      <c r="W48" s="78"/>
      <c r="X48" s="78">
        <f t="shared" si="16"/>
        <v>53</v>
      </c>
      <c r="Y48" s="78">
        <f t="shared" si="17"/>
        <v>16</v>
      </c>
      <c r="Z48" s="77"/>
      <c r="AA48" s="52">
        <f t="shared" si="18"/>
        <v>468</v>
      </c>
      <c r="AB48" s="77"/>
      <c r="AC48" s="77"/>
      <c r="AD48" s="77"/>
      <c r="AE48" s="77"/>
      <c r="AF48" s="76"/>
      <c r="AG48" s="76"/>
      <c r="AH48" s="76"/>
      <c r="AI48" s="76"/>
      <c r="AJ48" s="76"/>
      <c r="AK48" s="76"/>
      <c r="AL48" s="76"/>
      <c r="AM48" s="76"/>
      <c r="AN48" s="76"/>
      <c r="AO48" s="76">
        <v>40</v>
      </c>
      <c r="AP48" s="76"/>
      <c r="AQ48" s="76"/>
      <c r="AR48" s="76"/>
      <c r="AS48" s="76"/>
      <c r="AT48" s="76"/>
      <c r="AU48" s="76"/>
      <c r="AV48" s="76">
        <v>15</v>
      </c>
      <c r="AW48" s="76">
        <v>1</v>
      </c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>
        <v>3</v>
      </c>
      <c r="BM48" s="76"/>
      <c r="BN48" s="76"/>
      <c r="BO48" s="76">
        <v>1</v>
      </c>
      <c r="BP48" s="56">
        <f t="shared" si="0"/>
        <v>1304.6199999999999</v>
      </c>
      <c r="BQ48" s="89"/>
      <c r="BR48" s="58">
        <f t="shared" si="1"/>
        <v>27396.92</v>
      </c>
      <c r="BS48" s="59">
        <f>SUBTOTAL(9,$BR$7:BR48)</f>
        <v>3058838.3699999996</v>
      </c>
    </row>
    <row r="49" spans="1:71" x14ac:dyDescent="0.25">
      <c r="A49" s="50">
        <v>42</v>
      </c>
      <c r="B49" s="51" t="s">
        <v>154</v>
      </c>
      <c r="C49" s="75" t="s">
        <v>94</v>
      </c>
      <c r="D49" s="75" t="s">
        <v>97</v>
      </c>
      <c r="E49" s="76" t="s">
        <v>112</v>
      </c>
      <c r="F49" s="77" t="s">
        <v>83</v>
      </c>
      <c r="G49" s="78">
        <v>500</v>
      </c>
      <c r="H49" s="78">
        <v>20860</v>
      </c>
      <c r="I49" s="78">
        <f>ROUND((H49/9)+(((G49/2)*16)/9),0)</f>
        <v>2762</v>
      </c>
      <c r="J49" s="78"/>
      <c r="K49" s="78"/>
      <c r="L49" s="78"/>
      <c r="M49" s="78"/>
      <c r="N49" s="78">
        <f t="shared" si="12"/>
        <v>70</v>
      </c>
      <c r="O49" s="52"/>
      <c r="P49" s="78">
        <f t="shared" si="13"/>
        <v>70</v>
      </c>
      <c r="Q49" s="78">
        <f t="shared" si="14"/>
        <v>239</v>
      </c>
      <c r="R49" s="77"/>
      <c r="S49" s="77"/>
      <c r="T49" s="77"/>
      <c r="U49" s="77"/>
      <c r="V49" s="78">
        <f t="shared" si="15"/>
        <v>29</v>
      </c>
      <c r="W49" s="78"/>
      <c r="X49" s="78">
        <f t="shared" si="16"/>
        <v>70</v>
      </c>
      <c r="Y49" s="78">
        <f t="shared" si="17"/>
        <v>21</v>
      </c>
      <c r="Z49" s="77"/>
      <c r="AA49" s="52">
        <f t="shared" si="18"/>
        <v>550</v>
      </c>
      <c r="AB49" s="77"/>
      <c r="AC49" s="77"/>
      <c r="AD49" s="77"/>
      <c r="AE49" s="77"/>
      <c r="AF49" s="76"/>
      <c r="AG49" s="76"/>
      <c r="AH49" s="76"/>
      <c r="AI49" s="76"/>
      <c r="AJ49" s="76"/>
      <c r="AK49" s="76"/>
      <c r="AL49" s="76"/>
      <c r="AM49" s="76"/>
      <c r="AN49" s="76"/>
      <c r="AO49" s="76">
        <v>760</v>
      </c>
      <c r="AP49" s="76"/>
      <c r="AQ49" s="76"/>
      <c r="AR49" s="76"/>
      <c r="AS49" s="76"/>
      <c r="AT49" s="76"/>
      <c r="AU49" s="76"/>
      <c r="AV49" s="76">
        <v>90</v>
      </c>
      <c r="AW49" s="76">
        <v>2</v>
      </c>
      <c r="AX49" s="76"/>
      <c r="AY49" s="76"/>
      <c r="AZ49" s="76"/>
      <c r="BA49" s="76"/>
      <c r="BB49" s="76"/>
      <c r="BC49" s="76"/>
      <c r="BD49" s="76">
        <v>24</v>
      </c>
      <c r="BE49" s="76"/>
      <c r="BF49" s="76"/>
      <c r="BG49" s="76"/>
      <c r="BH49" s="76"/>
      <c r="BI49" s="76"/>
      <c r="BJ49" s="76"/>
      <c r="BK49" s="76">
        <v>1</v>
      </c>
      <c r="BL49" s="76"/>
      <c r="BM49" s="76"/>
      <c r="BN49" s="76"/>
      <c r="BO49" s="76"/>
      <c r="BP49" s="56">
        <f t="shared" si="0"/>
        <v>1728.43</v>
      </c>
      <c r="BQ49" s="89"/>
      <c r="BR49" s="58">
        <f t="shared" si="1"/>
        <v>36296.93</v>
      </c>
      <c r="BS49" s="59">
        <f>SUBTOTAL(9,$BR$7:BR49)</f>
        <v>3095135.3</v>
      </c>
    </row>
    <row r="50" spans="1:71" x14ac:dyDescent="0.25">
      <c r="A50" s="50">
        <v>43</v>
      </c>
      <c r="B50" s="51" t="s">
        <v>155</v>
      </c>
      <c r="C50" s="75" t="s">
        <v>94</v>
      </c>
      <c r="D50" s="75" t="s">
        <v>156</v>
      </c>
      <c r="E50" s="76" t="s">
        <v>112</v>
      </c>
      <c r="F50" s="77" t="s">
        <v>83</v>
      </c>
      <c r="G50" s="78">
        <v>250</v>
      </c>
      <c r="H50" s="78">
        <v>8350</v>
      </c>
      <c r="I50" s="78">
        <f>ROUND((H50/9)+(((G50/2)*16)/9),0)</f>
        <v>1150</v>
      </c>
      <c r="J50" s="78"/>
      <c r="K50" s="78"/>
      <c r="L50" s="78"/>
      <c r="M50" s="78"/>
      <c r="N50" s="78">
        <f>ROUND(H50/9*0.1,0)</f>
        <v>93</v>
      </c>
      <c r="O50" s="52"/>
      <c r="P50" s="78">
        <f>ROUND(H50/9*0.1,0)</f>
        <v>93</v>
      </c>
      <c r="Q50" s="78">
        <f t="shared" si="14"/>
        <v>96</v>
      </c>
      <c r="R50" s="77"/>
      <c r="S50" s="77"/>
      <c r="T50" s="77"/>
      <c r="U50" s="77"/>
      <c r="V50" s="78">
        <f>ROUND((((H50/9*165)/2000)*1.25)*0.3,0)</f>
        <v>29</v>
      </c>
      <c r="W50" s="78"/>
      <c r="X50" s="78">
        <f>ROUND(H50/9*0.1,0)</f>
        <v>93</v>
      </c>
      <c r="Y50" s="78">
        <f>ROUND((Q50+T50+V50)*0.1,0)</f>
        <v>13</v>
      </c>
      <c r="Z50" s="77"/>
      <c r="AA50" s="52">
        <f t="shared" si="18"/>
        <v>275</v>
      </c>
      <c r="AB50" s="77"/>
      <c r="AC50" s="77"/>
      <c r="AD50" s="77"/>
      <c r="AE50" s="77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56">
        <f t="shared" si="0"/>
        <v>910.66</v>
      </c>
      <c r="BQ50" s="89"/>
      <c r="BR50" s="58">
        <f t="shared" si="1"/>
        <v>19123.91</v>
      </c>
      <c r="BS50" s="59">
        <f>SUBTOTAL(9,$BR$7:BR50)</f>
        <v>3114259.21</v>
      </c>
    </row>
    <row r="51" spans="1:71" x14ac:dyDescent="0.25">
      <c r="A51" s="50">
        <v>44</v>
      </c>
      <c r="B51" s="51" t="s">
        <v>157</v>
      </c>
      <c r="C51" s="75" t="s">
        <v>94</v>
      </c>
      <c r="D51" s="75" t="s">
        <v>156</v>
      </c>
      <c r="E51" s="76" t="s">
        <v>112</v>
      </c>
      <c r="F51" s="77" t="s">
        <v>83</v>
      </c>
      <c r="G51" s="78">
        <v>350</v>
      </c>
      <c r="H51" s="78">
        <v>11730</v>
      </c>
      <c r="I51" s="78">
        <f>ROUND((H51/9)+(((G51/2)*16)/9),0)</f>
        <v>1614</v>
      </c>
      <c r="J51" s="78"/>
      <c r="K51" s="78"/>
      <c r="L51" s="78"/>
      <c r="M51" s="78"/>
      <c r="N51" s="78">
        <f>ROUND(H51/9*0.03,0)</f>
        <v>39</v>
      </c>
      <c r="O51" s="52"/>
      <c r="P51" s="78">
        <f>ROUND(H51/9*0.03,0)</f>
        <v>39</v>
      </c>
      <c r="Q51" s="78">
        <f t="shared" si="14"/>
        <v>134</v>
      </c>
      <c r="R51" s="77"/>
      <c r="S51" s="77"/>
      <c r="T51" s="77"/>
      <c r="U51" s="77"/>
      <c r="V51" s="78">
        <f>ROUND((((H51/9*165)/2000)*1.25)*0.12,0)</f>
        <v>16</v>
      </c>
      <c r="W51" s="78"/>
      <c r="X51" s="78">
        <f>ROUND(H51/9*0.03,0)</f>
        <v>39</v>
      </c>
      <c r="Y51" s="78">
        <f>ROUND((Q51+T51+V51)*0.08,0)</f>
        <v>12</v>
      </c>
      <c r="Z51" s="77"/>
      <c r="AA51" s="52">
        <f t="shared" si="18"/>
        <v>385</v>
      </c>
      <c r="AB51" s="77"/>
      <c r="AC51" s="77"/>
      <c r="AD51" s="77"/>
      <c r="AE51" s="77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56">
        <f t="shared" si="0"/>
        <v>915.09</v>
      </c>
      <c r="BQ51" s="89"/>
      <c r="BR51" s="58">
        <f t="shared" si="1"/>
        <v>19216.84</v>
      </c>
      <c r="BS51" s="59">
        <f>SUBTOTAL(9,$BR$7:BR51)</f>
        <v>3133476.05</v>
      </c>
    </row>
    <row r="52" spans="1:71" x14ac:dyDescent="0.25">
      <c r="A52" s="50">
        <v>45</v>
      </c>
      <c r="B52" s="75" t="s">
        <v>158</v>
      </c>
      <c r="C52" s="75" t="s">
        <v>159</v>
      </c>
      <c r="D52" s="75" t="s">
        <v>160</v>
      </c>
      <c r="E52" s="76" t="s">
        <v>112</v>
      </c>
      <c r="F52" s="76" t="s">
        <v>83</v>
      </c>
      <c r="G52" s="76">
        <v>1225</v>
      </c>
      <c r="H52" s="76">
        <v>32865</v>
      </c>
      <c r="I52" s="54">
        <f>ROUND(H52/9,0)</f>
        <v>3652</v>
      </c>
      <c r="J52" s="52"/>
      <c r="K52" s="52"/>
      <c r="L52" s="52"/>
      <c r="M52" s="52"/>
      <c r="N52" s="78">
        <f>ROUND(H52/9*0.03,0)</f>
        <v>110</v>
      </c>
      <c r="O52" s="52"/>
      <c r="P52" s="78">
        <f>ROUND(H52/9*0.03,0)</f>
        <v>110</v>
      </c>
      <c r="Q52" s="78">
        <f t="shared" si="14"/>
        <v>377</v>
      </c>
      <c r="R52" s="52"/>
      <c r="S52" s="52"/>
      <c r="T52" s="52"/>
      <c r="U52" s="52"/>
      <c r="V52" s="78">
        <f>ROUND((((H52/9*165)/2000)*1.25)*0.12,0)</f>
        <v>45</v>
      </c>
      <c r="W52" s="52"/>
      <c r="X52" s="78">
        <f>ROUND(H52/9*0.03,0)</f>
        <v>110</v>
      </c>
      <c r="Y52" s="78">
        <f>ROUND((Q52+T52+V52)*0.08,0)</f>
        <v>34</v>
      </c>
      <c r="Z52" s="77"/>
      <c r="AA52" s="90">
        <f t="shared" si="18"/>
        <v>1348</v>
      </c>
      <c r="AB52" s="52"/>
      <c r="AC52" s="52"/>
      <c r="AD52" s="52"/>
      <c r="AE52" s="52"/>
      <c r="AF52" s="52"/>
      <c r="AG52" s="52"/>
      <c r="AH52" s="52"/>
      <c r="AI52" s="52"/>
      <c r="AJ52" s="52">
        <v>21</v>
      </c>
      <c r="AK52" s="52"/>
      <c r="AL52" s="52">
        <v>20</v>
      </c>
      <c r="AM52" s="52"/>
      <c r="AN52" s="52"/>
      <c r="AO52" s="52">
        <v>160</v>
      </c>
      <c r="AP52" s="52"/>
      <c r="AQ52" s="51"/>
      <c r="AR52" s="52"/>
      <c r="AS52" s="52">
        <v>120</v>
      </c>
      <c r="AT52" s="52"/>
      <c r="AU52" s="52"/>
      <c r="AV52" s="52">
        <v>60</v>
      </c>
      <c r="AW52" s="52">
        <v>4</v>
      </c>
      <c r="AX52" s="51"/>
      <c r="AY52" s="51"/>
      <c r="AZ52" s="51"/>
      <c r="BA52" s="51"/>
      <c r="BB52" s="51"/>
      <c r="BC52" s="51"/>
      <c r="BD52" s="51"/>
      <c r="BE52" s="51"/>
      <c r="BF52" s="52"/>
      <c r="BG52" s="51"/>
      <c r="BH52" s="51"/>
      <c r="BI52" s="51"/>
      <c r="BJ52" s="51"/>
      <c r="BK52" s="51"/>
      <c r="BL52" s="52">
        <v>2</v>
      </c>
      <c r="BM52" s="52">
        <v>1</v>
      </c>
      <c r="BN52" s="51"/>
      <c r="BO52" s="51"/>
      <c r="BP52" s="56">
        <f t="shared" si="0"/>
        <v>2912.59</v>
      </c>
      <c r="BQ52" s="73"/>
      <c r="BR52" s="83">
        <f t="shared" si="1"/>
        <v>61164.39</v>
      </c>
      <c r="BS52" s="59">
        <f>SUBTOTAL(9,$BR$7:BR52)</f>
        <v>3194640.44</v>
      </c>
    </row>
    <row r="53" spans="1:71" x14ac:dyDescent="0.25">
      <c r="A53" s="50">
        <v>46</v>
      </c>
      <c r="B53" s="75" t="s">
        <v>161</v>
      </c>
      <c r="C53" s="75" t="s">
        <v>162</v>
      </c>
      <c r="D53" s="75" t="s">
        <v>99</v>
      </c>
      <c r="E53" s="76" t="s">
        <v>105</v>
      </c>
      <c r="F53" s="77" t="s">
        <v>83</v>
      </c>
      <c r="G53" s="76">
        <v>3676</v>
      </c>
      <c r="H53" s="76">
        <v>95440</v>
      </c>
      <c r="I53" s="54">
        <f>ROUND(H53/9,0)</f>
        <v>10604</v>
      </c>
      <c r="J53" s="76"/>
      <c r="K53" s="76"/>
      <c r="L53" s="76"/>
      <c r="M53" s="76"/>
      <c r="N53" s="78"/>
      <c r="O53" s="54">
        <f>ROUND(H53/9*0.03,0)</f>
        <v>318</v>
      </c>
      <c r="P53" s="78">
        <f>ROUND(H53/9*0.03,0)</f>
        <v>318</v>
      </c>
      <c r="Q53" s="78"/>
      <c r="R53" s="76"/>
      <c r="S53" s="76"/>
      <c r="T53" s="78">
        <f>ROUND((((H53/9)*165)/2000)*1.25,0)</f>
        <v>1094</v>
      </c>
      <c r="U53" s="76"/>
      <c r="V53" s="78">
        <f>ROUND((((H53/9*165)/2000)*1.25)*0.12,0)</f>
        <v>131</v>
      </c>
      <c r="W53" s="52">
        <f>ROUND(H53/9*0.03,0)</f>
        <v>318</v>
      </c>
      <c r="X53" s="78"/>
      <c r="Y53" s="78">
        <f>ROUND((Q53+T53+V53)*0.08,0)</f>
        <v>98</v>
      </c>
      <c r="Z53" s="77"/>
      <c r="AA53" s="52">
        <f t="shared" si="18"/>
        <v>4044</v>
      </c>
      <c r="AB53" s="76"/>
      <c r="AC53" s="76"/>
      <c r="AD53" s="76"/>
      <c r="AE53" s="76"/>
      <c r="AF53" s="76"/>
      <c r="AG53" s="76">
        <v>35</v>
      </c>
      <c r="AH53" s="76"/>
      <c r="AI53" s="76"/>
      <c r="AJ53" s="76">
        <v>28</v>
      </c>
      <c r="AK53" s="76"/>
      <c r="AL53" s="76">
        <v>20</v>
      </c>
      <c r="AM53" s="76">
        <f>2*4</f>
        <v>8</v>
      </c>
      <c r="AN53" s="76">
        <v>7000</v>
      </c>
      <c r="AO53" s="76">
        <v>7000</v>
      </c>
      <c r="AP53" s="76">
        <v>20</v>
      </c>
      <c r="AQ53" s="75"/>
      <c r="AR53" s="75"/>
      <c r="AS53" s="76">
        <v>180</v>
      </c>
      <c r="AT53" s="76"/>
      <c r="AU53" s="75"/>
      <c r="AV53" s="76">
        <v>45</v>
      </c>
      <c r="AW53" s="76">
        <v>2</v>
      </c>
      <c r="AX53" s="76">
        <v>4</v>
      </c>
      <c r="AY53" s="75"/>
      <c r="AZ53" s="75"/>
      <c r="BA53" s="75"/>
      <c r="BB53" s="75"/>
      <c r="BC53" s="75"/>
      <c r="BD53" s="75"/>
      <c r="BE53" s="75"/>
      <c r="BF53" s="76"/>
      <c r="BG53" s="75"/>
      <c r="BH53" s="75"/>
      <c r="BI53" s="75"/>
      <c r="BJ53" s="75"/>
      <c r="BK53" s="75"/>
      <c r="BL53" s="76">
        <v>5</v>
      </c>
      <c r="BM53" s="76">
        <v>1</v>
      </c>
      <c r="BN53" s="76">
        <v>1</v>
      </c>
      <c r="BO53" s="76">
        <v>7</v>
      </c>
      <c r="BP53" s="56">
        <f t="shared" si="0"/>
        <v>10012.57</v>
      </c>
      <c r="BQ53" s="91"/>
      <c r="BR53" s="88">
        <f t="shared" si="1"/>
        <v>210263.97</v>
      </c>
      <c r="BS53" s="59">
        <f>SUBTOTAL(9,$BR$7:BR53)</f>
        <v>3404904.41</v>
      </c>
    </row>
    <row r="54" spans="1:71" ht="15.75" thickBot="1" x14ac:dyDescent="0.3">
      <c r="A54" s="92">
        <v>47</v>
      </c>
      <c r="B54" s="93" t="s">
        <v>163</v>
      </c>
      <c r="C54" s="93" t="s">
        <v>164</v>
      </c>
      <c r="D54" s="93" t="s">
        <v>165</v>
      </c>
      <c r="E54" s="94" t="s">
        <v>142</v>
      </c>
      <c r="F54" s="95" t="s">
        <v>83</v>
      </c>
      <c r="G54" s="94">
        <v>200</v>
      </c>
      <c r="H54" s="94">
        <v>3000</v>
      </c>
      <c r="I54" s="96"/>
      <c r="J54" s="96">
        <f t="shared" ref="J54" si="19">ROUND(H54/9,0)</f>
        <v>333</v>
      </c>
      <c r="K54" s="96"/>
      <c r="L54" s="96"/>
      <c r="M54" s="96"/>
      <c r="N54" s="96">
        <f t="shared" ref="N54" si="20">ROUND(H54/9*0.03,0)</f>
        <v>10</v>
      </c>
      <c r="O54" s="96"/>
      <c r="P54" s="96"/>
      <c r="Q54" s="96"/>
      <c r="R54" s="95"/>
      <c r="S54" s="95"/>
      <c r="T54" s="95"/>
      <c r="U54" s="96">
        <f t="shared" ref="U54" si="21">ROUND((((H54/9)*165)/2000)*1.25,0)</f>
        <v>34</v>
      </c>
      <c r="V54" s="97"/>
      <c r="W54" s="95"/>
      <c r="X54" s="96"/>
      <c r="Y54" s="96">
        <f t="shared" ref="Y54" si="22">ROUND(((H54/9)*165/2000)*1.25*0.1,0)</f>
        <v>3</v>
      </c>
      <c r="Z54" s="95"/>
      <c r="AA54" s="98"/>
      <c r="AB54" s="95"/>
      <c r="AC54" s="95"/>
      <c r="AD54" s="95"/>
      <c r="AE54" s="95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9">
        <f t="shared" si="0"/>
        <v>229.13</v>
      </c>
      <c r="BQ54" s="100"/>
      <c r="BR54" s="88">
        <f t="shared" si="1"/>
        <v>4811.63</v>
      </c>
      <c r="BS54" s="59">
        <f>SUBTOTAL(9,$BR$7:BR54)</f>
        <v>3409716.04</v>
      </c>
    </row>
    <row r="56" spans="1:71" x14ac:dyDescent="0.25">
      <c r="H56" s="60" t="s">
        <v>166</v>
      </c>
      <c r="I56" s="101">
        <f>SUM(I6:I54)</f>
        <v>140748</v>
      </c>
      <c r="J56" s="101">
        <f t="shared" ref="J56:BQ56" si="23">SUM(J6:J54)</f>
        <v>919</v>
      </c>
      <c r="K56" s="101">
        <f t="shared" si="23"/>
        <v>0</v>
      </c>
      <c r="L56" s="101">
        <f t="shared" si="23"/>
        <v>0</v>
      </c>
      <c r="M56" s="101">
        <f t="shared" si="23"/>
        <v>0</v>
      </c>
      <c r="N56" s="101">
        <f t="shared" si="23"/>
        <v>3370</v>
      </c>
      <c r="O56" s="101">
        <f t="shared" si="23"/>
        <v>1023</v>
      </c>
      <c r="P56" s="101">
        <f t="shared" si="23"/>
        <v>4366</v>
      </c>
      <c r="Q56" s="101">
        <f t="shared" si="23"/>
        <v>11264</v>
      </c>
      <c r="R56" s="101">
        <f t="shared" si="23"/>
        <v>0</v>
      </c>
      <c r="S56" s="101">
        <f t="shared" si="23"/>
        <v>80</v>
      </c>
      <c r="T56" s="101">
        <f t="shared" si="23"/>
        <v>2367</v>
      </c>
      <c r="U56" s="101">
        <f t="shared" si="23"/>
        <v>124</v>
      </c>
      <c r="V56" s="101">
        <f t="shared" si="23"/>
        <v>1647</v>
      </c>
      <c r="W56" s="101">
        <f t="shared" si="23"/>
        <v>1023</v>
      </c>
      <c r="X56" s="101">
        <f t="shared" si="23"/>
        <v>3343</v>
      </c>
      <c r="Y56" s="101">
        <f t="shared" si="23"/>
        <v>1230</v>
      </c>
      <c r="Z56" s="101">
        <f t="shared" si="23"/>
        <v>0</v>
      </c>
      <c r="AA56" s="101">
        <f t="shared" si="23"/>
        <v>48315</v>
      </c>
      <c r="AB56" s="101">
        <f t="shared" si="23"/>
        <v>33.699999999999996</v>
      </c>
      <c r="AC56" s="101">
        <f t="shared" si="23"/>
        <v>0</v>
      </c>
      <c r="AD56" s="101">
        <f t="shared" si="23"/>
        <v>1</v>
      </c>
      <c r="AE56" s="101">
        <f t="shared" si="23"/>
        <v>0</v>
      </c>
      <c r="AF56" s="101">
        <f t="shared" si="23"/>
        <v>7520</v>
      </c>
      <c r="AG56" s="101">
        <f t="shared" si="23"/>
        <v>455</v>
      </c>
      <c r="AH56" s="101">
        <f t="shared" si="23"/>
        <v>4269</v>
      </c>
      <c r="AI56" s="101">
        <f t="shared" si="23"/>
        <v>0</v>
      </c>
      <c r="AJ56" s="101">
        <f t="shared" si="23"/>
        <v>413</v>
      </c>
      <c r="AK56" s="101">
        <f t="shared" si="23"/>
        <v>0</v>
      </c>
      <c r="AL56" s="101">
        <f t="shared" si="23"/>
        <v>878</v>
      </c>
      <c r="AM56" s="101">
        <f t="shared" si="23"/>
        <v>48</v>
      </c>
      <c r="AN56" s="101">
        <f t="shared" si="23"/>
        <v>11040</v>
      </c>
      <c r="AO56" s="101">
        <f t="shared" si="23"/>
        <v>22684</v>
      </c>
      <c r="AP56" s="101">
        <f t="shared" si="23"/>
        <v>645</v>
      </c>
      <c r="AQ56" s="101">
        <f t="shared" si="23"/>
        <v>300</v>
      </c>
      <c r="AR56" s="101">
        <f t="shared" si="23"/>
        <v>0</v>
      </c>
      <c r="AS56" s="101">
        <f t="shared" si="23"/>
        <v>4920</v>
      </c>
      <c r="AT56" s="101">
        <f t="shared" si="23"/>
        <v>0</v>
      </c>
      <c r="AU56" s="101">
        <f t="shared" si="23"/>
        <v>0</v>
      </c>
      <c r="AV56" s="101">
        <f t="shared" si="23"/>
        <v>1174</v>
      </c>
      <c r="AW56" s="101">
        <f t="shared" si="23"/>
        <v>71</v>
      </c>
      <c r="AX56" s="101">
        <f t="shared" si="23"/>
        <v>40</v>
      </c>
      <c r="AY56" s="101">
        <f t="shared" si="23"/>
        <v>0</v>
      </c>
      <c r="AZ56" s="101">
        <f t="shared" si="23"/>
        <v>0</v>
      </c>
      <c r="BA56" s="101">
        <f t="shared" si="23"/>
        <v>0</v>
      </c>
      <c r="BB56" s="101">
        <f t="shared" si="23"/>
        <v>0</v>
      </c>
      <c r="BC56" s="101">
        <f t="shared" si="23"/>
        <v>0</v>
      </c>
      <c r="BD56" s="101">
        <f t="shared" si="23"/>
        <v>48</v>
      </c>
      <c r="BE56" s="101">
        <f t="shared" si="23"/>
        <v>0</v>
      </c>
      <c r="BF56" s="101">
        <f t="shared" si="23"/>
        <v>0</v>
      </c>
      <c r="BG56" s="101">
        <f t="shared" si="23"/>
        <v>0</v>
      </c>
      <c r="BH56" s="101">
        <f t="shared" si="23"/>
        <v>0</v>
      </c>
      <c r="BI56" s="101">
        <f t="shared" si="23"/>
        <v>0</v>
      </c>
      <c r="BJ56" s="101">
        <f t="shared" si="23"/>
        <v>0</v>
      </c>
      <c r="BK56" s="101">
        <f t="shared" si="23"/>
        <v>2</v>
      </c>
      <c r="BL56" s="101">
        <f t="shared" si="23"/>
        <v>38</v>
      </c>
      <c r="BM56" s="101">
        <f t="shared" si="23"/>
        <v>5</v>
      </c>
      <c r="BN56" s="101">
        <f t="shared" si="23"/>
        <v>3</v>
      </c>
      <c r="BO56" s="101">
        <f t="shared" si="23"/>
        <v>31</v>
      </c>
      <c r="BP56" s="101">
        <f t="shared" si="23"/>
        <v>162367.49</v>
      </c>
      <c r="BQ56" s="101">
        <f t="shared" si="23"/>
        <v>0</v>
      </c>
    </row>
  </sheetData>
  <autoFilter ref="A6:EO54" xr:uid="{00000000-0009-0000-0000-000000000000}">
    <sortState xmlns:xlrd2="http://schemas.microsoft.com/office/spreadsheetml/2017/richdata2" ref="A7:EO54">
      <sortCondition ref="A6:A54"/>
    </sortState>
  </autoFilter>
  <mergeCells count="2">
    <mergeCell ref="B2:F2"/>
    <mergeCell ref="B3:H3"/>
  </mergeCells>
  <printOptions horizontalCentered="1"/>
  <pageMargins left="0.25" right="0.25" top="0.75" bottom="0.75" header="0.3" footer="0.3"/>
  <pageSetup paperSize="17" scale="50" fitToHeight="0" orientation="landscape" r:id="rId1"/>
  <headerFooter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 Bid Tab</vt:lpstr>
      <vt:lpstr>2021 Quantities by Street</vt:lpstr>
      <vt:lpstr>'2021 Quantities by Street'!Print_Area</vt:lpstr>
      <vt:lpstr>'2021 Quantities by Street'!Print_Titles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 E. Christmas</dc:creator>
  <cp:lastModifiedBy>Wes E. Christmas</cp:lastModifiedBy>
  <dcterms:created xsi:type="dcterms:W3CDTF">2021-04-26T12:26:57Z</dcterms:created>
  <dcterms:modified xsi:type="dcterms:W3CDTF">2021-04-26T12:29:30Z</dcterms:modified>
</cp:coreProperties>
</file>